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 &amp; Sources" sheetId="1" state="visible" r:id="rId3"/>
    <sheet name="Assumptions" sheetId="2" state="visible" r:id="rId4"/>
    <sheet name="Model by Bracket" sheetId="3" state="visible" r:id="rId5"/>
    <sheet name="Triage Logic" sheetId="4" state="visible" r:id="rId6"/>
    <sheet name="Charts" sheetId="5" state="visible" r:id="rId7"/>
    <sheet name="Realist — Assumptions" sheetId="6" state="visible" r:id="rId8"/>
    <sheet name="Realist — Model" sheetId="7" state="visible" r:id="rId9"/>
    <sheet name="Market &amp; Liquidity" sheetId="8" state="visible" r:id="rId10"/>
    <sheet name="Figure 2 — Budgets" sheetId="9" state="visible" r:id="rId11"/>
    <sheet name="Incidence &amp; Sensitivity" sheetId="10" state="visible" r:id="rId12"/>
    <sheet name="Predictive Distribution (MC)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<sst xmlns="http://schemas.openxmlformats.org/spreadsheetml/2006/main" count="535" uniqueCount="446">
  <si>
    <t xml:space="preserve">Diesel/Oil Shock Household Impact Model — 2026</t>
  </si>
  <si>
    <t xml:space="preserve">Probability-weighted inflation impact by income bracket, with housing &amp; debt triage</t>
  </si>
  <si>
    <t xml:space="preserve">HOW TO USE</t>
  </si>
  <si>
    <t xml:space="preserve">Blue cells are editable inputs. Change scenario probabilities, monthly CPI paths, basket weights, or</t>
  </si>
  <si>
    <t xml:space="preserve">debt assumptions on the Assumptions tab and every chart and table recomputes.</t>
  </si>
  <si>
    <t xml:space="preserve">Black = formulas. Green = links pulling from another sheet. Yellow = key assumptions to review.</t>
  </si>
  <si>
    <t xml:space="preserve">WHAT IS MEASURED vs MODELED</t>
  </si>
  <si>
    <t xml:space="preserve">MEASURED (sourced): median/mean household income, median AGI, CE spending &amp; housing shares by</t>
  </si>
  <si>
    <t xml:space="preserve">quintile, gasoline-share pattern, household distribution, avg student-loan &amp; credit-card balances.</t>
  </si>
  <si>
    <t xml:space="preserve">MODELED (estimated, clearly flagged blue): within-bracket spending levels, basket factors, per-bracket</t>
  </si>
  <si>
    <t xml:space="preserve">debt balances/prevalence, the +2.91% expected inflation path (from the scenario engine).</t>
  </si>
  <si>
    <t xml:space="preserve">Read aggregate totals as a central estimate (~$20–30B/mo), not a precise figure.</t>
  </si>
  <si>
    <t xml:space="preserve">IMPORTANT — NOT ADVICE</t>
  </si>
  <si>
    <t xml:space="preserve">The triage ordering describes how obligations are *typically* prioritized in financial counseling. It is</t>
  </si>
  <si>
    <t xml:space="preserve">general information, not personalized financial, legal, or tax advice. Actual best actions depend on an</t>
  </si>
  <si>
    <t xml:space="preserve">individual's loan types, contracts, and circumstances. Consult a qualified professional.</t>
  </si>
  <si>
    <t xml:space="preserve">KEY SOURCES</t>
  </si>
  <si>
    <t xml:space="preserve">Median household income $83,730 / mean $121,000 (2024) — U.S. Census Bureau, CPS ASEC, Sep 2025</t>
  </si>
  <si>
    <t xml:space="preserve">Median AGI ~$50,400 per return (TY2022) — IRS SOI / Tax Foundation</t>
  </si>
  <si>
    <t xml:space="preserve">Avg expenditures by quintile $35,046–$150,342 (2024) — BLS Consumer Expenditure Survey</t>
  </si>
  <si>
    <t xml:space="preserve">Housing share 41.6% (lowest) to 29.3% (highest) quintile — BLS CE 2024</t>
  </si>
  <si>
    <t xml:space="preserve">Gasoline-share hump in middle quintiles — BLS CE / U.S. DOE</t>
  </si>
  <si>
    <t xml:space="preserve">Avg federal student loan $39,633/borrower (Dec 2025) — U.S. Dept. of Education</t>
  </si>
  <si>
    <t xml:space="preserve">27% of &lt;$50k borrowers behind vs 10% of $100k+ — Federal Reserve SHED</t>
  </si>
  <si>
    <t xml:space="preserve">Household income distribution &amp; ~132M households (2024) — U.S. Census Bureau</t>
  </si>
  <si>
    <t xml:space="preserve">Strait of Hormuz 6-month mine-clearing estimate — Pentagon via Washington Post/AP, Apr 2026</t>
  </si>
  <si>
    <t xml:space="preserve">Assumptions &amp; Scenario Engine</t>
  </si>
  <si>
    <t xml:space="preserve">Scenario engine — monthly CPI (MoM %), editable</t>
  </si>
  <si>
    <t xml:space="preserve">Scenario</t>
  </si>
  <si>
    <t xml:space="preserve">Prob.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</si>
  <si>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</si>
  <si>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</si>
  <si>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</si>
  <si>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</si>
  <si>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</si>
  <si>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</si>
  <si>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</si>
  <si>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Ceasefire + clearing</t>
  </si>
  <si>
    <t xml:space="preserve">Status quo / closed</t>
  </si>
  <si>
    <t xml:space="preserve">Escalation</t>
  </si>
  <si>
    <t xml:space="preserve">Prob. check (should = 100%)</t>
  </si>
  <si>
    <t xml:space="preserve">Cumulative price index (May=100), computed</t>
  </si>
  <si>
    <t xml:space="preserve">May</t>
  </si>
  <si>
    <t xml:space="preserve">Cum % Dec</t>
  </si>
  <si>
    <t xml:space="preserve">Expected cumulative % by Dec (probability-weighted)</t>
  </si>
  <si>
    <t xml:space="preserve">Payment assumptions</t>
  </si>
  <si>
    <t xml:space="preserve">Student loan monthly payment rate (% of balance, ~10yr std)</t>
  </si>
  <si>
    <t xml:space="preserve">Credit card minimum payment rate (% of balance)</t>
  </si>
  <si>
    <t xml:space="preserve">Reference anchors (sourced)</t>
  </si>
  <si>
    <t xml:space="preserve">Median household income, 2024 ($)</t>
  </si>
  <si>
    <t xml:space="preserve">Source: Census CPS ASEC</t>
  </si>
  <si>
    <t xml:space="preserve">Mean household income, 2024 ($)</t>
  </si>
  <si>
    <t xml:space="preserve">Median AGI per return, TY2022 ($)</t>
  </si>
  <si>
    <t xml:space="preserve">Source: IRS SOI / Tax Foundation</t>
  </si>
  <si>
    <t xml:space="preserve">Avg federal student loan / borrower ($)</t>
  </si>
  <si>
    <t xml:space="preserve">Source: Dept. of Education, Dec 2025</t>
  </si>
  <si>
    <t xml:space="preserve">Avg credit card balance / cardholder ($)</t>
  </si>
  <si>
    <t xml:space="preserve">Source: Industry/Fed est.</t>
  </si>
  <si>
    <t xml:space="preserve">Total U.S. households</t>
  </si>
  <si>
    <t xml:space="preserve">Source: Census 2024</t>
  </si>
  <si>
    <t xml:space="preserve">Inflation Impact, Housing &amp; Debt by Income Bracket</t>
  </si>
  <si>
    <t xml:space="preserve">Expected scenario. Edit blue inputs; green cells link to Assumptions.</t>
  </si>
  <si>
    <t xml:space="preserve">Income bracket</t>
  </si>
  <si>
    <t xml:space="preserve">House-holds (M)</t>
  </si>
  <si>
    <t xml:space="preserve">Monthly spend ($)</t>
  </si>
  <si>
    <t xml:space="preserve">Housing share</t>
  </si>
  <si>
    <t xml:space="preserve">Housing $/mo</t>
  </si>
  <si>
    <t xml:space="preserve">Student loan prevalence</t>
  </si>
  <si>
    <t xml:space="preserve">Student loan bal ($)</t>
  </si>
  <si>
    <t xml:space="preserve">Student pmt/mo ($)</t>
  </si>
  <si>
    <t xml:space="preserve">Card carry rate</t>
  </si>
  <si>
    <t xml:space="preserve">Card balance ($)</t>
  </si>
  <si>
    <t xml:space="preserve">Card min/mo ($)</t>
  </si>
  <si>
    <t xml:space="preserve">Basket factor</t>
  </si>
  <si>
    <t xml:space="preserve">Effective Dec rate</t>
  </si>
  <si>
    <t xml:space="preserve">Per-HH Dec hit ($/mo)</t>
  </si>
  <si>
    <t xml:space="preserve">Aggregate ($B/mo)</t>
  </si>
  <si>
    <t xml:space="preserve">Exp student/mo ($)</t>
  </si>
  <si>
    <t xml:space="preserve">Exp card/mo ($)</t>
  </si>
  <si>
    <t xml:space="preserve">Committed bills/mo ($)</t>
  </si>
  <si>
    <t xml:space="preserve">Shock vs committed</t>
  </si>
  <si>
    <t xml:space="preserve">&lt;$25k</t>
  </si>
  <si>
    <t xml:space="preserve">$25–50k</t>
  </si>
  <si>
    <t xml:space="preserve">$50–75k</t>
  </si>
  <si>
    <t xml:space="preserve">$75–100k</t>
  </si>
  <si>
    <t xml:space="preserve">$100–150k</t>
  </si>
  <si>
    <t xml:space="preserve">$150–200k</t>
  </si>
  <si>
    <t xml:space="preserve">$200k+</t>
  </si>
  <si>
    <t xml:space="preserve">TOTAL / blended</t>
  </si>
  <si>
    <t xml:space="preserve">Annualized total burden ($B/yr):</t>
  </si>
  <si>
    <t xml:space="preserve">Housing $/mo includes utilities/furnishings; shelter alone ≈ 62% of it (BLS CE).</t>
  </si>
  <si>
    <t xml:space="preserve">Student/card balances &amp; prevalence are modeled estimates anchored to national averages.</t>
  </si>
  <si>
    <t xml:space="preserve">Debt inputs anchored to 2022 Federal Reserve Survey of Consumer Finances: credit card ~45% hold, median $2,700 / mean $6,100;</t>
  </si>
  <si>
    <t xml:space="preserve">student loans 22% hold, median ~$25,000 / mean ~$47,000. Source: Federal Reserve, Changes in U.S. Family Finances 2019-2022.</t>
  </si>
  <si>
    <t xml:space="preserve">Basket factors = food+energy budget share by income / aggregate share (lowest ~18.5% vs ~13.75% aggregate). Source: NY Fed CEX analysis; BLS experimental CPI by income.</t>
  </si>
  <si>
    <t xml:space="preserve">Obligation Triage — Likely Priority Order Under Strain</t>
  </si>
  <si>
    <t xml:space="preserve">General information on how bills are typically prioritized. NOT financial/legal advice.</t>
  </si>
  <si>
    <t xml:space="preserve">Priority</t>
  </si>
  <si>
    <t xml:space="preserve">Obligation</t>
  </si>
  <si>
    <t xml:space="preserve">Why this rank</t>
  </si>
  <si>
    <t xml:space="preserve">Consequence of missing</t>
  </si>
  <si>
    <t xml:space="preserve">1</t>
  </si>
  <si>
    <t xml:space="preserve">Food &amp; essential utilities</t>
  </si>
  <si>
    <t xml:space="preserve">Survival; utilities (electric/gas/water) can be shut off quickly</t>
  </si>
  <si>
    <t xml:space="preserve">Health risk; fast shutoff; reconnection fees</t>
  </si>
  <si>
    <t xml:space="preserve">2</t>
  </si>
  <si>
    <t xml:space="preserve">Housing (rent / mortgage)</t>
  </si>
  <si>
    <t xml:space="preserve">Shelter; renters face faster eviction timelines than mortgage foreclosure</t>
  </si>
  <si>
    <t xml:space="preserve">Eviction / foreclosure; hardest to recover</t>
  </si>
  <si>
    <t xml:space="preserve">3</t>
  </si>
  <si>
    <t xml:space="preserve">Transportation (auto loan, insurance, fuel)</t>
  </si>
  <si>
    <t xml:space="preserve">Usually required to keep earning income</t>
  </si>
  <si>
    <t xml:space="preserve">Repossession; job loss; uninsured risk</t>
  </si>
  <si>
    <t xml:space="preserve">4</t>
  </si>
  <si>
    <t xml:space="preserve">Insurance &amp; required taxes</t>
  </si>
  <si>
    <t xml:space="preserve">Legal exposure and loss of coverage</t>
  </si>
  <si>
    <t xml:space="preserve">Penalties; liens; lapses</t>
  </si>
  <si>
    <t xml:space="preserve">5</t>
  </si>
  <si>
    <t xml:space="preserve">Credit card minimums</t>
  </si>
  <si>
    <t xml:space="preserve">Protect credit score &amp; revolving access; avoid rate compounding</t>
  </si>
  <si>
    <t xml:space="preserve">Score damage; penalty APR; growing balance</t>
  </si>
  <si>
    <t xml:space="preserve">6</t>
  </si>
  <si>
    <t xml:space="preserve">Student loans (esp. federal)</t>
  </si>
  <si>
    <t xml:space="preserve">Most deferrable — forbearance / income-driven plans; slowest severe consequences</t>
  </si>
  <si>
    <t xml:space="preserve">Delinquency/default, but longer runway &amp; relief options</t>
  </si>
  <si>
    <t xml:space="preserve">Net effect: when the shock hits, the lowest-priority payments give first — federal student loans, then</t>
  </si>
  <si>
    <t xml:space="preserve">credit cards. This matches reality: 27% of borrowers under $50k are already behind on student loans vs 10% of $100k+.</t>
  </si>
  <si>
    <t xml:space="preserve">Per-bracket squeeze view (links from Model)</t>
  </si>
  <si>
    <t xml:space="preserve">Dec shock ($/mo)</t>
  </si>
  <si>
    <t xml:space="preserve">Housing ($/mo)</t>
  </si>
  <si>
    <t xml:space="preserve">Student pmt (borrowers)</t>
  </si>
  <si>
    <t xml:space="preserve">Card min ($/mo)</t>
  </si>
  <si>
    <t xml:space="preserve">Shock ÷ (student+card)</t>
  </si>
  <si>
    <t xml:space="preserve">Likely first squeezed</t>
  </si>
  <si>
    <t xml:space="preserve">Student loan (already highest delinquency)</t>
  </si>
  <si>
    <t xml:space="preserve">Student loan, then card</t>
  </si>
  <si>
    <t xml:space="preserve">Charts</t>
  </si>
  <si>
    <t xml:space="preserve">Energy-Realist Lens — Assumptions (Berman &amp; Hagens)</t>
  </si>
  <si>
    <t xml:space="preserve">Alternative to the consensus engine. Same households/budgets; a harsher, stickier oil/diesel shock. Scenario &amp; basket values are this model’s adaptation of the Berman/Hagens framework, not figures they published.</t>
  </si>
  <si>
    <t xml:space="preserve">Scenario engine — monthly CPI (MoM %), energy-realist paths</t>
  </si>
  <si>
    <t xml:space="preserve">Cum. % by Dec</t>
  </si>
  <si>
    <t xml:space="preserve">Prob. check</t>
  </si>
  <si>
    <t xml:space="preserve">Basket-factor broadening (embedded energy): +0.12 added to each consensus factor</t>
  </si>
  <si>
    <t xml:space="preserve">Rationale: oil is ~40% of U.S. energy and underpins transport, agriculture, and trade, so a diesel shock transmits beyond the direct food+energy basket.</t>
  </si>
  <si>
    <t xml:space="preserve">Sources (energy-realist lens)</t>
  </si>
  <si>
    <t xml:space="preserve">• Art Berman, "America Has Plenty of Oil—Just Not the Right Kind" (artberman.com, May 2026): U.S. net crude importer ~6.3 vs ~4.0 Mb/d; refineries need imported medium/heavy crude; losing it → diesel deficit, margin dislocation; "energy independence" is an accounting artifact.</t>
  </si>
  <si>
    <t xml:space="preserve">• Berman &amp; Hagens, The Great Simplification — "Shale Oil and the Slurping Sound" / "Peak Oil: The Hedonic Adjustment": shale high-graded/cannibalized → steep declines; ~40% of U.S. "oil" is NGPLs/ethanol/refinery gain.</t>
  </si>
  <si>
    <t xml:space="preserve">• Nate Hagens, The Great Simplification: oil underpins the economy; energy shocks transmit more broadly than a narrow cost share implies. https://www.thegreatsimplification.com/</t>
  </si>
  <si>
    <t xml:space="preserve">• U.S. EIA, U.S. energy facts — imports &amp; exports: U.S. remained a net crude oil importer in 2024 (crude ~67% of energy imports). https://www.eia.gov/energyexplained/us-energy-facts/imports-and-exports.php</t>
  </si>
  <si>
    <t xml:space="preserve">• Berman price view (May 2026): "higher prices are far more probable than lower"; great uncertainty given no historical precedent for a Hormuz closure of this kind.</t>
  </si>
  <si>
    <t xml:space="preserve">Energy-Realist Lens — Model by Bracket (Berman &amp; Hagens)</t>
  </si>
  <si>
    <t xml:space="preserve">Households &amp; monthly spend are pulled from the consensus "Model by Bracket" sheet (same demographic facts). Basket factor = consensus factor + 0.12 (embedded-energy broadening). Expected rate from "Realist — Assumptions".</t>
  </si>
  <si>
    <t xml:space="preserve">Basket factor (realist)</t>
  </si>
  <si>
    <t xml:space="preserve">Comparison — national added cost ($B/month)</t>
  </si>
  <si>
    <t xml:space="preserve">Consensus / macro lens</t>
  </si>
  <si>
    <t xml:space="preserve">Energy-realist lens (Berman &amp; Hagens)</t>
  </si>
  <si>
    <t xml:space="preserve">Realist ÷ Consensus (×)</t>
  </si>
  <si>
    <t xml:space="preserve">Annualized realist ($B/yr)</t>
  </si>
  <si>
    <t xml:space="preserve">Market Sensitivity &amp; Liquidity (illustrative — not investment advice)</t>
  </si>
  <si>
    <t xml:space="preserve">Directional scenario sensitivities mirrored from the report’s Figure 7. Weighted columns use each lens’ default scenario probabilities. These are illustrative regime sensitivities, NOT price targets or advice.</t>
  </si>
  <si>
    <t xml:space="preserve">Metric</t>
  </si>
  <si>
    <t xml:space="preserve">Cons: Ceasefire</t>
  </si>
  <si>
    <t xml:space="preserve">Cons: Status quo</t>
  </si>
  <si>
    <t xml:space="preserve">Cons: Escalation</t>
  </si>
  <si>
    <t xml:space="preserve">Cons: Weighted</t>
  </si>
  <si>
    <t xml:space="preserve">Real: Ceasefire</t>
  </si>
  <si>
    <t xml:space="preserve">Real: Status quo</t>
  </si>
  <si>
    <t xml:space="preserve">Real: Escalation</t>
  </si>
  <si>
    <t xml:space="preserve">Real: Weighted</t>
  </si>
  <si>
    <t xml:space="preserve">Source / note</t>
  </si>
  <si>
    <t xml:space="preserve">Headline CPI year-end (YoY, %)</t>
  </si>
  <si>
    <t xml:space="preserve">IMF/Fed passthrough (cons.); Berman/Hagens (real.)</t>
  </si>
  <si>
    <t xml:space="preserve">10-yr Treasury yield (Δ bps)</t>
  </si>
  <si>
    <t xml:space="preserve">ECB; higher-for-longer</t>
  </si>
  <si>
    <t xml:space="preserve">Equities S&amp;P 500 (scenario %, sign uncertain)</t>
  </si>
  <si>
    <t xml:space="preserve">Kedia/RIA history; regime-dependent</t>
  </si>
  <si>
    <t xml:space="preserve">Investment-grade bonds (price %)</t>
  </si>
  <si>
    <t xml:space="preserve">Vanguard; yields-up case</t>
  </si>
  <si>
    <t xml:space="preserve">Bitcoin / crypto (liquidity-driven %)</t>
  </si>
  <si>
    <t xml:space="preserve">Dale (42 Macro) &amp; Howell (CrossBorder) — EXPANDABLE</t>
  </si>
  <si>
    <t xml:space="preserve">Liquidity &amp; crypto inputs — Dale (42 Macro) / Howell (CrossBorder Capital)  [EXPANDABLE]</t>
  </si>
  <si>
    <t xml:space="preserve">Purple cells are placeholders to refine from the actual 42 Macro / CrossBorder Capital newsletters.</t>
  </si>
  <si>
    <t xml:space="preserve">Global liquidity cycle phase</t>
  </si>
  <si>
    <t xml:space="preserve">Downswing — cycle peaked Q3 2025, likely into 2027</t>
  </si>
  <si>
    <t xml:space="preserve">Howell / CrossBorder</t>
  </si>
  <si>
    <t xml:space="preserve">Debt-refinancing wall 2026–2028 ($ trillion)</t>
  </si>
  <si>
    <t xml:space="preserve">Howell</t>
  </si>
  <si>
    <t xml:space="preserve">Bitcoin liquidity sensitivity</t>
  </si>
  <si>
    <t xml:space="preserve">Most liquidity-sensitive major asset; falls first &amp; hardest when liquidity tightens</t>
  </si>
  <si>
    <t xml:space="preserve">42 Macro regime read</t>
  </si>
  <si>
    <t xml:space="preserve">Oil shock = capital-account liquidity crisis; inflation regime → elevated cross-asset correlation</t>
  </si>
  <si>
    <t xml:space="preserve">Dale / 42 Macro</t>
  </si>
  <si>
    <t xml:space="preserve">Net-liquidity proxy (add level here)</t>
  </si>
  <si>
    <t xml:space="preserve">Howell — Global Liquidity Index (expand)</t>
  </si>
  <si>
    <t xml:space="preserve">42 Macro GRID weather signal (add here)</t>
  </si>
  <si>
    <t xml:space="preserve">Dale — GRID/KISS (expand)</t>
  </si>
  <si>
    <t xml:space="preserve">Stablecoin / on-chain liquidity (add here)</t>
  </si>
  <si>
    <t xml:space="preserve">expand</t>
  </si>
  <si>
    <t xml:space="preserve">FOMC 2026 schedule — June to December (the Fed will act on this shock)</t>
  </si>
  <si>
    <t xml:space="preserve">Meeting</t>
  </si>
  <si>
    <t xml:space="preserve">Projections (dot plot)?</t>
  </si>
  <si>
    <t xml:space="preserve">Note</t>
  </si>
  <si>
    <t xml:space="preserve">Jun 16–17, 2026</t>
  </si>
  <si>
    <t xml:space="preserve">Yes ★</t>
  </si>
  <si>
    <t xml:space="preserve">First post-window decision; SEP/dot plot</t>
  </si>
  <si>
    <t xml:space="preserve">Jul 28–29, 2026</t>
  </si>
  <si>
    <t xml:space="preserve">No</t>
  </si>
  <si>
    <t xml:space="preserve">Sep 15–16, 2026</t>
  </si>
  <si>
    <t xml:space="preserve">SEP/dot plot</t>
  </si>
  <si>
    <t xml:space="preserve">Oct 27–28, 2026</t>
  </si>
  <si>
    <t xml:space="preserve">Dec 8–9, 2026</t>
  </si>
  <si>
    <t xml:space="preserve">Year-end SEP/dot plot</t>
  </si>
  <si>
    <t xml:space="preserve">Source: Federal Reserve (federalreserve.gov). Funds rate held 3.50–3.75% at Mar 18, 2026.</t>
  </si>
  <si>
    <t xml:space="preserve">Run-rate vs. cumulative (best practice)</t>
  </si>
  <si>
    <t xml:space="preserve">Model aggregate = December run-rate ($/mo at the expected Dec rate). Annualized = run-rate × 12 (steady state, NOT realized 2026 total).</t>
  </si>
  <si>
    <t xml:space="preserve">Realized Jun–Dec cumulative ≈ run-rate × 4.45 (consensus) / × 4.37 (energy-realist), because the burden builds over the year. Burden is the cost to hold consumption constant (a real-income hit) — an upper bound before substitution.</t>
  </si>
  <si>
    <t xml:space="preserve">Consensus Jun–Dec cumulative ($B):</t>
  </si>
  <si>
    <t xml:space="preserve">Energy-realist Jun–Dec cumulative ($B):</t>
  </si>
  <si>
    <t xml:space="preserve">TREASURY-DRIVEN LIQUIDITY OVERLAY — Howell "not-QE, QE"</t>
  </si>
  <si>
    <t xml:space="preserve">The Treasury’s financing mix is now a stealth-QE lever independent of the oil shock: heavy T-bill issuance + RRP/TGA drawdowns add money-market liquidity even during QT (Howell), and bill issuance suppresses coupon yields ("not-YCC, YCC"). Direction can offset or amplify the oil-shock read for liquidity-sensitive assets — most of all crypto.</t>
  </si>
  <si>
    <t xml:space="preserve">Treasury / Fed lever</t>
  </si>
  <si>
    <t xml:space="preserve">Injecting</t>
  </si>
  <si>
    <t xml:space="preserve">Draining</t>
  </si>
  <si>
    <t xml:space="preserve">2026 reading</t>
  </si>
  <si>
    <t xml:space="preserve">T-bill share of issuance</t>
  </si>
  <si>
    <t xml:space="preserve">bill-heavy → suppresses coupon yields</t>
  </si>
  <si>
    <t xml:space="preserve">coupon-heavy → yields drift up</t>
  </si>
  <si>
    <t xml:space="preserve">High — post-July-2025 bill deluge</t>
  </si>
  <si>
    <t xml:space="preserve">Treasury General Account (TGA)</t>
  </si>
  <si>
    <t xml:space="preserve">drawing down → adds reserves</t>
  </si>
  <si>
    <t xml:space="preserve">rebuilding → drains reserves</t>
  </si>
  <si>
    <t xml:space="preserve">~$900B, rebuilt H2 2025</t>
  </si>
  <si>
    <t xml:space="preserve">RRP + bank reserves</t>
  </si>
  <si>
    <t xml:space="preserve">RRP / reserves ample</t>
  </si>
  <si>
    <t xml:space="preserve">reserve-scarce → MM stress</t>
  </si>
  <si>
    <t xml:space="preserve">RRP ~depleted; reserves scarce</t>
  </si>
  <si>
    <t xml:space="preserve">Fed balance sheet</t>
  </si>
  <si>
    <t xml:space="preserve">expanding ("not-QE, QE")</t>
  </si>
  <si>
    <t xml:space="preserve">QT / runoff</t>
  </si>
  <si>
    <t xml:space="preserve">Expanding since Dec 1 2025</t>
  </si>
  <si>
    <t xml:space="preserve">Overlay magnitudes (illustrative; blue = editable inputs)</t>
  </si>
  <si>
    <t xml:space="preserve">Liquidity-sensitive line</t>
  </si>
  <si>
    <t xml:space="preserve">Inject Δ</t>
  </si>
  <si>
    <t xml:space="preserve">Neutral Δ</t>
  </si>
  <si>
    <t xml:space="preserve">Drain Δ</t>
  </si>
  <si>
    <t xml:space="preserve">units</t>
  </si>
  <si>
    <t xml:space="preserve">Equities — S&amp;P 500</t>
  </si>
  <si>
    <t xml:space="preserve">%</t>
  </si>
  <si>
    <t xml:space="preserve">Bitcoin / crypto (most liquidity-sensitive)</t>
  </si>
  <si>
    <t xml:space="preserve">10-yr coupon yield</t>
  </si>
  <si>
    <t xml:space="preserve">bps</t>
  </si>
  <si>
    <t xml:space="preserve">Worked net read = energy-realist oil-shock (weighted) + overlay</t>
  </si>
  <si>
    <t xml:space="preserve">Line</t>
  </si>
  <si>
    <t xml:space="preserve">Oil-shock baseline</t>
  </si>
  <si>
    <t xml:space="preserve">Inject net</t>
  </si>
  <si>
    <t xml:space="preserve">Neutral net</t>
  </si>
  <si>
    <t xml:space="preserve">Drain net</t>
  </si>
  <si>
    <t xml:space="preserve">Bitcoin / crypto</t>
  </si>
  <si>
    <t xml:space="preserve">10-yr yield (bps)</t>
  </si>
  <si>
    <t xml:space="preserve">Baselines (green) mirror the Fig 7 energy-realist weighted column at default probabilities; the HTML recomputes them live with the sliders &amp; lens. Net = baseline + selected-impulse Δ.</t>
  </si>
  <si>
    <t xml:space="preserve">Sources: Howell / CrossBorder Capital ("not-QE, QE"; bill issuance suppresses coupon yields); Hudson Bay Capital — Activist Treasury Issuance (reduced coupons = "stealth QE", same liquidity effect as Fed QE); NY Fed (Perli, Mar 2026) &amp; BNY — TGA rebuild via &gt;$600B net bill issuance drained system liquidity to its lowest since QT began; Fed halted QT Dec 1, 2025.</t>
  </si>
  <si>
    <t xml:space="preserve">Figure 2 / Figure 3 — Demographic monthly budgets (raw data)</t>
  </si>
  <si>
    <t xml:space="preserve">Drives the budget bars and trajectory lines in the report. Cushion = take-home − essentials − housing − debt. Per-group shock = expected rate × (basket factor + 0.12 in the energy-realist lens) × consumption. Amber rows are the new "young adults, by living situation" view.</t>
  </si>
  <si>
    <t xml:space="preserve">Lens</t>
  </si>
  <si>
    <t xml:space="preserve">Group</t>
  </si>
  <si>
    <t xml:space="preserve">Take-home $/mo</t>
  </si>
  <si>
    <t xml:space="preserve">Essentials $/mo</t>
  </si>
  <si>
    <t xml:space="preserve">Debt $/mo</t>
  </si>
  <si>
    <t xml:space="preserve">Cushion $/mo</t>
  </si>
  <si>
    <t xml:space="preserve">By income</t>
  </si>
  <si>
    <t xml:space="preserve">Lower income</t>
  </si>
  <si>
    <t xml:space="preserve">~$30k/yr</t>
  </si>
  <si>
    <t xml:space="preserve">Middle income</t>
  </si>
  <si>
    <t xml:space="preserve">~$75k/yr</t>
  </si>
  <si>
    <t xml:space="preserve">Upper income</t>
  </si>
  <si>
    <t xml:space="preserve">~$200k/yr</t>
  </si>
  <si>
    <t xml:space="preserve">By age</t>
  </si>
  <si>
    <t xml:space="preserve">Under 25</t>
  </si>
  <si>
    <t xml:space="preserve">Gen Z / early career; CE youth cross-tab</t>
  </si>
  <si>
    <t xml:space="preserve">25-34</t>
  </si>
  <si>
    <t xml:space="preserve">renter-heavy, student-debt peak</t>
  </si>
  <si>
    <t xml:space="preserve">35-54</t>
  </si>
  <si>
    <t xml:space="preserve">peak earnings; mortgage + kids</t>
  </si>
  <si>
    <t xml:space="preserve">55+</t>
  </si>
  <si>
    <t xml:space="preserve">toward retirement; lower housing</t>
  </si>
  <si>
    <t xml:space="preserve">By tenure</t>
  </si>
  <si>
    <t xml:space="preserve">Renter</t>
  </si>
  <si>
    <t xml:space="preserve">rent exposed; fastest eviction</t>
  </si>
  <si>
    <t xml:space="preserve">Owner w/ mortgage</t>
  </si>
  <si>
    <t xml:space="preserve">fixed P&amp;I insulates biggest bill</t>
  </si>
  <si>
    <t xml:space="preserve">Owner, paid off</t>
  </si>
  <si>
    <t xml:space="preserve">taxes/insurance/utilities only</t>
  </si>
  <si>
    <t xml:space="preserve">By household</t>
  </si>
  <si>
    <t xml:space="preserve">Single, living alone</t>
  </si>
  <si>
    <t xml:space="preserve">one income</t>
  </si>
  <si>
    <t xml:space="preserve">Single parent</t>
  </si>
  <si>
    <t xml:space="preserve">one income, kids</t>
  </si>
  <si>
    <t xml:space="preserve">Married, no kids</t>
  </si>
  <si>
    <t xml:space="preserve">two incomes</t>
  </si>
  <si>
    <t xml:space="preserve">Married, with kids</t>
  </si>
  <si>
    <t xml:space="preserve">two incomes, higher essentials</t>
  </si>
  <si>
    <t xml:space="preserve">Young adults</t>
  </si>
  <si>
    <t xml:space="preserve">With family</t>
  </si>
  <si>
    <t xml:space="preserve">NOT a householder; housing-buffered, transport-exposed (est.)</t>
  </si>
  <si>
    <t xml:space="preserve">Renting on their own</t>
  </si>
  <si>
    <t xml:space="preserve">under-25 householder; thinnest cushion</t>
  </si>
  <si>
    <t xml:space="preserve">Partnered / owning</t>
  </si>
  <si>
    <t xml:space="preserve">young, dual income; most resilient</t>
  </si>
  <si>
    <t xml:space="preserve">Negative cushion = household already spends past take-home (dissaving). "Young adults" is a separate living-situation view, not an age-of-householder cut.</t>
  </si>
  <si>
    <t xml:space="preserve">Sources: BLS CE (quintile/age/tenure/composition + under-25 cross-tab), Census income by age, USAFacts renter burden, Pew/Census living-with-parents shares. Budget splits within a bar are modeled from category shares.</t>
  </si>
  <si>
    <t xml:space="preserve">Incidence &amp; Sensitivity — live (referee Sections 6 &amp; 7; Round-2 corrections)</t>
  </si>
  <si>
    <t xml:space="preserve">Suits/Kakwani computed on BOTH income bases. The pre-tax index is the benchmark-comparable headline; the after-tax index measures burden vs disposable income. Burden concentration &amp; the bottom/top share ratio need no base choice. Indices are invariant to the scenario weights. Blue = editable input; green = linked.</t>
  </si>
  <si>
    <t xml:space="preserve">A.  Incidence indices (pre-tax = headline)</t>
  </si>
  <si>
    <t xml:space="preserve">Bracket</t>
  </si>
  <si>
    <t xml:space="preserve">Households (M)</t>
  </si>
  <si>
    <t xml:space="preserve">Per-HH hit $/mo</t>
  </si>
  <si>
    <t xml:space="preserve">Pre-tax income $/mo</t>
  </si>
  <si>
    <t xml:space="preserve">Eff. tax rate</t>
  </si>
  <si>
    <t xml:space="preserve">After-tax income $/mo</t>
  </si>
  <si>
    <t xml:space="preserve">Burden % (after-tax)</t>
  </si>
  <si>
    <t xml:space="preserve">Cum pop share</t>
  </si>
  <si>
    <t xml:space="preserve">Cum pre-tax income share</t>
  </si>
  <si>
    <t xml:space="preserve">Cum after-tax income share</t>
  </si>
  <si>
    <t xml:space="preserve">Cum burden share</t>
  </si>
  <si>
    <t xml:space="preserve">Index</t>
  </si>
  <si>
    <t xml:space="preserve">Value</t>
  </si>
  <si>
    <t xml:space="preserve">Income Gini — pre-tax</t>
  </si>
  <si>
    <t xml:space="preserve">Income Gini — after-tax</t>
  </si>
  <si>
    <t xml:space="preserve">Burden concentration (base-independent)</t>
  </si>
  <si>
    <t xml:space="preserve">Suits index — PRE-TAX (headline)</t>
  </si>
  <si>
    <t xml:space="preserve">≈ gasoline excise tax (−0.25 to −0.35), measured on pre-tax income.</t>
  </si>
  <si>
    <t xml:space="preserve">Suits index — after-tax</t>
  </si>
  <si>
    <t xml:space="preserve">Kakwani — PRE-TAX (headline)</t>
  </si>
  <si>
    <t xml:space="preserve">Kakwani = burden concentration − income Gini.</t>
  </si>
  <si>
    <t xml:space="preserve">Kakwani — after-tax</t>
  </si>
  <si>
    <t xml:space="preserve">Bottom/top burden-share ratio</t>
  </si>
  <si>
    <t xml:space="preserve">Robustness to representative income (single declared convention per column; verified)</t>
  </si>
  <si>
    <t xml:space="preserve">Gross income pair</t>
  </si>
  <si>
    <t xml:space="preserve">Bottom %</t>
  </si>
  <si>
    <t xml:space="preserve">Top %</t>
  </si>
  <si>
    <t xml:space="preserve">Suits pre-tax</t>
  </si>
  <si>
    <t xml:space="preserve">Suits after-tax</t>
  </si>
  <si>
    <t xml:space="preserve">Base $15k / $300k</t>
  </si>
  <si>
    <t xml:space="preserve">$12.5k / $250k</t>
  </si>
  <si>
    <t xml:space="preserve">$20k / $400k</t>
  </si>
  <si>
    <t xml:space="preserve">Sign never flips. Pre-tax stays in the gasoline-tax band (−0.23 to −0.31); after-tax dips to −0.19 at the favorable corner. Earlier draft’s top-% column (1.62/1.01) was wrong — corrected here.</t>
  </si>
  <si>
    <t xml:space="preserve">B.  Sensitivity / tornado</t>
  </si>
  <si>
    <t xml:space="preserve">Aggregate $B/mo = expected rate × K</t>
  </si>
  <si>
    <t xml:space="preserve">K ($B per unit expected rate)</t>
  </si>
  <si>
    <t xml:space="preserve">Envelope (corner scenarios)</t>
  </si>
  <si>
    <t xml:space="preserve">Expected rate</t>
  </si>
  <si>
    <t xml:space="preserve">Aggregate $B/mo</t>
  </si>
  <si>
    <t xml:space="preserve">All ceasefire</t>
  </si>
  <si>
    <t xml:space="preserve">All status quo</t>
  </si>
  <si>
    <t xml:space="preserve">Baseline (weighted)</t>
  </si>
  <si>
    <t xml:space="preserve">All escalation</t>
  </si>
  <si>
    <t xml:space="preserve">~$25B/mo central, ~$9–44B/mo band — governed by the (subjective) scenario weights.</t>
  </si>
  <si>
    <t xml:space="preserve">Probability-weight tornado (each ±0.15, others renormalized)</t>
  </si>
  <si>
    <t xml:space="preserve">Weight varied</t>
  </si>
  <si>
    <t xml:space="preserve">Low $B/mo</t>
  </si>
  <si>
    <t xml:space="preserve">High $B/mo</t>
  </si>
  <si>
    <t xml:space="preserve">Swing $B/mo</t>
  </si>
  <si>
    <t xml:space="preserve">Ceasefire</t>
  </si>
  <si>
    <t xml:space="preserve">Status quo</t>
  </si>
  <si>
    <t xml:space="preserve">Escalation weight dominant; status-quo near-inert.</t>
  </si>
  <si>
    <t xml:space="preserve">Predictive Distribution — Monte Carlo &amp; Bootstrap  (imported results, not live)</t>
  </si>
  <si>
    <t xml:space="preserve">Source: companion research_analysis.py (seed 20260605, N=200,000 MC draws, 100,000 bootstrap replicates). Independently reproduced with a different seed — every headline figure matched to rounding. Cells below are STATIC recorded results, not live formulas; the deterministic anchors match the live model (Assumptions!B16, Model by Bracket!O12).</t>
  </si>
  <si>
    <t xml:space="preserve">A.  Deterministic anchors (for reference)</t>
  </si>
  <si>
    <t xml:space="preserve">Expected cumulative Dec rate</t>
  </si>
  <si>
    <t xml:space="preserve">Central monthly aggregate burden</t>
  </si>
  <si>
    <t xml:space="preserve">Weight-only "envelope" corners (all-ceasefire … all-escalation)</t>
  </si>
  <si>
    <t xml:space="preserve">to</t>
  </si>
  <si>
    <t xml:space="preserve">B.  Predictive distribution — realized outcomes (the headline upgrade)</t>
  </si>
  <si>
    <t xml:space="preserve">mean</t>
  </si>
  <si>
    <t xml:space="preserve">p05</t>
  </si>
  <si>
    <t xml:space="preserve">median</t>
  </si>
  <si>
    <t xml:space="preserve">p95</t>
  </si>
  <si>
    <t xml:space="preserve">SD</t>
  </si>
  <si>
    <t xml:space="preserve">IQR (p25–p75)</t>
  </si>
  <si>
    <t xml:space="preserve">Realized Dec cumulative rate</t>
  </si>
  <si>
    <t xml:space="preserve">1.63–4.12%</t>
  </si>
  <si>
    <t xml:space="preserve">Realized monthly aggregate burden ($B)</t>
  </si>
  <si>
    <t xml:space="preserve">$13.8–34.9B</t>
  </si>
  <si>
    <t xml:space="preserve">Model expected-rate (weight uncertainty only)</t>
  </si>
  <si>
    <t xml:space="preserve">90% interval:  rate 0.4–5.8%  ·  burden $3.7–49.3B  ·  median burden $23.3B  ·  mean $24.7B (matches deterministic by construction)</t>
  </si>
  <si>
    <t xml:space="preserve">C.  Where the uncertainty lives  (law of total variance)</t>
  </si>
  <si>
    <t xml:space="preserve">Between-scenario (structural — WHICH scenario realizes)</t>
  </si>
  <si>
    <t xml:space="preserve">Within-scenario path noise</t>
  </si>
  <si>
    <t xml:space="preserve">Weight (odds) uncertainty — 90% CI fixed vs Dirichlet weights</t>
  </si>
  <si>
    <t xml:space="preserve">[0.42, 5.82]%</t>
  </si>
  <si>
    <t xml:space="preserve">≈</t>
  </si>
  <si>
    <t xml:space="preserve">[0.44, 5.81]%</t>
  </si>
  <si>
    <t xml:space="preserve">→ Tightening the forecast needs better information on the geopolitical path, not finer measurement. Weight uncertainty is third-order.</t>
  </si>
  <si>
    <t xml:space="preserve">D.  Decision-relevant tail probabilities</t>
  </si>
  <si>
    <t xml:space="preserve">P(realized rate &gt; 4%)</t>
  </si>
  <si>
    <t xml:space="preserve">P(realized rate &lt; 1%)</t>
  </si>
  <si>
    <t xml:space="preserve">P(burden &gt; $44.2B — above all-escalation corner)</t>
  </si>
  <si>
    <t xml:space="preserve">P(burden &lt; $9.4B — below all-ceasefire corner)</t>
  </si>
  <si>
    <t xml:space="preserve">P(burden &gt; $24.7B central)</t>
  </si>
  <si>
    <t xml:space="preserve">→ ~28% of outcomes fall OUTSIDE the old corner envelope (15% below, 12% above). The corners were never a probability interval.</t>
  </si>
  <si>
    <t xml:space="preserve">E.  Sensitivity — aggregate 90% CI under alternative assumptions ($B)</t>
  </si>
  <si>
    <t xml:space="preserve">parameter</t>
  </si>
  <si>
    <t xml:space="preserve">value</t>
  </si>
  <si>
    <t xml:space="preserve">kappa</t>
  </si>
  <si>
    <t xml:space="preserve">sig_month</t>
  </si>
  <si>
    <t xml:space="preserve">Central tendency, the 82/18 split, and "mass outside the corners" are robust; only exact tail width scales with assumed path volatility (a modeling choice, flagged).</t>
  </si>
  <si>
    <t xml:space="preserve">F.  Incidence indices — parametric bootstrap (100,000 replicates)</t>
  </si>
  <si>
    <t xml:space="preserve">point</t>
  </si>
  <si>
    <t xml:space="preserve">P(regressive)</t>
  </si>
  <si>
    <t xml:space="preserve">Suits — pre-tax (headline)</t>
  </si>
  <si>
    <t xml:space="preserve">Kakwani — pre-tax</t>
  </si>
  <si>
    <t xml:space="preserve">Suits — after-tax</t>
  </si>
  <si>
    <t xml:space="preserve">Regressive in 100% of replicates on both income bases. Captures modeled-input uncertainty (basket 6% CV, income 10% CV, tax ±2pp, counts/spend 2.5%/3%) — not survey sampling; a microdata resample would add survey CIs and is specified but unestimated.</t>
  </si>
  <si>
    <t xml:space="preserve">G.  Coupling — now addressed (see H–K below)</t>
  </si>
  <si>
    <t xml:space="preserve">The earlier floor was a lower bound (Gaussian, independent monthly noise). A coupled-tail layer is now reported alongside it: tail-dependent copula + fat tails + a crisis regime + state-dependent basket broadening. Two bands; the gap between them is the quantified "novel territory." The center is preserved; coupling reweights the upper tail only. Regressivity is untouched but for a slight attenuation via the state-dependent broadening (Section K) — never flips sign.</t>
  </si>
  <si>
    <t xml:space="preserve">H.  Two-band magnitude — aggregate $B/month (coupled_tail_mc.py, seed 20260605, N=200k; p_crisis=0.12, crisis_mult=2.5, bfadd_crisis=0.18)</t>
  </si>
  <si>
    <t xml:space="preserve">p99</t>
  </si>
  <si>
    <t xml:space="preserve">P(&gt;$44B)</t>
  </si>
  <si>
    <t xml:space="preserve">P(&gt;$60B)</t>
  </si>
  <si>
    <t xml:space="preserve">Floor (historical vol)</t>
  </si>
  <si>
    <t xml:space="preserve">Coupled — t-copula (default)</t>
  </si>
  <si>
    <t xml:space="preserve">Coupled — rotated-Clayton (upper bound)</t>
  </si>
  <si>
    <t xml:space="preserve">Center preserved (median ~$23–24B in every run). Coupling reweights the UPPER tail: p99 $54.8B → $68.7B (t) → $75.3B (Clayton). Coupled-t cumulative rate: median 2.76%, p95 6.09%, p99 7.32%.</t>
  </si>
  <si>
    <t xml:space="preserve">I.  "Novel territory" — the gap between the bands</t>
  </si>
  <si>
    <t xml:space="preserve">Upper-tail gap, coupled-t − floor (p95)</t>
  </si>
  <si>
    <t xml:space="preserve">Upper-tail gap, coupled-t − floor (p99)</t>
  </si>
  <si>
    <t xml:space="preserve">P(burden &gt; $60B): floor → coupled</t>
  </si>
  <si>
    <t xml:space="preserve">0.1% → 2.1%  (~18×)</t>
  </si>
  <si>
    <t xml:space="preserve">Tail-dependence: t-copula λ / Clayton λ_U</t>
  </si>
  <si>
    <t xml:space="preserve">0.181 / 0.707</t>
  </si>
  <si>
    <t xml:space="preserve">J.  Knob sensitivity (coupled-t) — aggregate p95 / p99 ($B)</t>
  </si>
  <si>
    <t xml:space="preserve">knob</t>
  </si>
  <si>
    <t xml:space="preserve">p_crisis</t>
  </si>
  <si>
    <t xml:space="preserve">crisis_mult</t>
  </si>
  <si>
    <t xml:space="preserve">bfadd_crisis</t>
  </si>
  <si>
    <t xml:space="preserve">nu_cop</t>
  </si>
  <si>
    <t xml:space="preserve">Tail governed by crisis probability/severity (p_crisis, crisis_mult) and breadth (bfadd_crisis). The copula dof (nu_cop) is second-order — the discrete regime already supplies most joint-tail co-movement.</t>
  </si>
  <si>
    <t xml:space="preserve">K.  Thesis check — pre-tax Suits index vs state-dependent basket broadening (BFADD)</t>
  </si>
  <si>
    <t xml:space="preserve">BFADD</t>
  </si>
  <si>
    <t xml:space="preserve">0.00</t>
  </si>
  <si>
    <t xml:space="preserve">0.12</t>
  </si>
  <si>
    <t xml:space="preserve">0.18</t>
  </si>
  <si>
    <t xml:space="preserve">0.30</t>
  </si>
  <si>
    <t xml:space="preserve">0.50</t>
  </si>
  <si>
    <t xml:space="preserve">Suits (pre-tax)</t>
  </si>
  <si>
    <t xml:space="preserve">Regressive across the entire plausible broadening range; uniform broadening dilutes the basket gradient and attenuates only slightly. Sign never flips. Coupling widens magnitude error bars, not the incidence conclusion.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</si>
</sst>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.0%"/>
    <numFmt numFmtId="166" formatCode="0.0"/>
    <numFmt numFmtId="167" formatCode="\$#,##0;&quot;($&quot;#,##0\);\-"/>
    <numFmt numFmtId="168" formatCode="#,##0"/>
    <numFmt numFmtId="169" formatCode="0.00"/>
    <numFmt numFmtId="170" formatCode="\$#,##0.0;&quot;($&quot;#,##0.0\);\-"/>
    <numFmt numFmtId="171" formatCode="0%"/>
    <numFmt numFmtId="172" formatCode="0.00%"/>
    <numFmt numFmtId="173" formatCode="\$#,##0"/>
    <numFmt numFmtId="174" formatCode="\$#,##0.0"/>
    <numFmt numFmtId="175" formatCode="0.0\×"/>
    <numFmt numFmtId="176" formatCode="0.000"/>
    <numFmt numFmtId="177" formatCode="0.000%"/>
    <numFmt numFmtId="178" formatCode="\$0.00"/>
    <numFmt numFmtId="179" formatCode="0.0\B"/>
    <numFmt numFmtId="180" formatCode="0.0\B"/>
    <numFmt numFmtId="181" formatCode="\+0.0\B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3"/>
      <name val="Arial"/>
      <family val="0"/>
      <charset val="1"/>
    </font>
    <font>
      <b val="true"/>
      <sz val="11"/>
      <color rgb="FFBE4A1E"/>
      <name val="Arial"/>
      <family val="0"/>
      <charset val="1"/>
    </font>
    <font>
      <sz val="11"/>
      <color rgb="FF1F6E63"/>
      <name val="Arial"/>
      <family val="0"/>
      <charset val="1"/>
    </font>
    <font>
      <b val="true"/>
      <sz val="12"/>
      <color rgb="FF3A2E5C"/>
      <name val="Arial"/>
      <family val="0"/>
      <charset val="1"/>
    </font>
    <font>
      <sz val="10"/>
      <color rgb="FF1F7A3D"/>
      <name val="Arial"/>
      <family val="0"/>
      <charset val="1"/>
    </font>
    <font>
      <i val="true"/>
      <sz val="9.5"/>
      <color rgb="FF6B6B6B"/>
      <name val="Calibri"/>
      <family val="0"/>
      <charset val="1"/>
    </font>
    <font>
      <b val="true"/>
      <sz val="11"/>
      <name val="Calibri"/>
      <family val="0"/>
      <charset val="1"/>
    </font>
    <font>
      <sz val="11"/>
      <name val="Calibri"/>
      <family val="0"/>
      <charset val="1"/>
    </font>
    <font>
      <b val="true"/>
      <i val="true"/>
      <sz val="10"/>
      <color rgb="FF6B6B6B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305496"/>
        <bgColor rgb="FF5B4B8A"/>
      </patternFill>
    </fill>
    <fill>
      <patternFill patternType="solid">
        <fgColor rgb="FFD9E1F2"/>
        <bgColor rgb="FFDCE6F1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3EEDD"/>
      </patternFill>
    </fill>
    <fill>
      <patternFill patternType="solid">
        <fgColor rgb="FF1F1A14"/>
        <bgColor rgb="FF333333"/>
      </patternFill>
    </fill>
    <fill>
      <patternFill patternType="solid">
        <fgColor rgb="FFDCE6F1"/>
        <bgColor rgb="FFD9E1F2"/>
      </patternFill>
    </fill>
    <fill>
      <patternFill patternType="solid">
        <fgColor rgb="FFEADCF1"/>
        <bgColor rgb="FFE7E0F3"/>
      </patternFill>
    </fill>
    <fill>
      <patternFill patternType="solid">
        <fgColor rgb="FFE7E0F3"/>
        <bgColor rgb="FFEADCF1"/>
      </patternFill>
    </fill>
    <fill>
      <patternFill patternType="solid">
        <fgColor rgb="FF3A2E5C"/>
        <bgColor rgb="FF333333"/>
      </patternFill>
    </fill>
    <fill>
      <patternFill patternType="solid">
        <fgColor rgb="FFFCEFD6"/>
        <bgColor rgb="FFF3EEDD"/>
      </patternFill>
    </fill>
    <fill>
      <patternFill patternType="solid">
        <fgColor rgb="FF5B4B8A"/>
        <bgColor rgb="FF555555"/>
      </patternFill>
    </fill>
    <fill>
      <patternFill patternType="solid">
        <fgColor rgb="FFF3EEDD"/>
        <bgColor rgb="FFFCEF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11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1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1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55555"/>
      <rgbColor rgb="FF800080"/>
      <rgbColor rgb="FF1F6E63"/>
      <rgbColor rgb="FFBBBBBB"/>
      <rgbColor rgb="FF878787"/>
      <rgbColor rgb="FF9999FF"/>
      <rgbColor rgb="FFBE4B48"/>
      <rgbColor rgb="FFFCEFD6"/>
      <rgbColor rgb="FFDCE6F1"/>
      <rgbColor rgb="FF660066"/>
      <rgbColor rgb="FFFF8080"/>
      <rgbColor rgb="FF305496"/>
      <rgbColor rgb="FFD9D9D9"/>
      <rgbColor rgb="FF000080"/>
      <rgbColor rgb="FFFF00FF"/>
      <rgbColor rgb="FFFFFF00"/>
      <rgbColor rgb="FF00FFFF"/>
      <rgbColor rgb="FF800080"/>
      <rgbColor rgb="FF800000"/>
      <rgbColor rgb="FF1F7A3D"/>
      <rgbColor rgb="FF0000FF"/>
      <rgbColor rgb="FF00CCFF"/>
      <rgbColor rgb="FFF2F2F2"/>
      <rgbColor rgb="FFF3EEDD"/>
      <rgbColor rgb="FFE7E0F3"/>
      <rgbColor rgb="FFD9E1F2"/>
      <rgbColor rgb="FFFF99CC"/>
      <rgbColor rgb="FFCC99FF"/>
      <rgbColor rgb="FFEADCF1"/>
      <rgbColor rgb="FF4F81BD"/>
      <rgbColor rgb="FF33CCCC"/>
      <rgbColor rgb="FF9BBB59"/>
      <rgbColor rgb="FFFFCC00"/>
      <rgbColor rgb="FFFF9900"/>
      <rgbColor rgb="FFFF6600"/>
      <rgbColor rgb="FF6B6B6B"/>
      <rgbColor rgb="FF969696"/>
      <rgbColor rgb="FF5B4B8A"/>
      <rgbColor rgb="FF339966"/>
      <rgbColor rgb="FF003300"/>
      <rgbColor rgb="FF1F1A14"/>
      <rgbColor rgb="FFBE4A1E"/>
      <rgbColor rgb="FFC0504D"/>
      <rgbColor rgb="FF3A2E5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Aggregate monthly burden by income bracket ($B/mo)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'Model by Bracket'!O4</c:f>
              <c:strCache>
                <c:ptCount val="1"/>
                <c:pt idx="0">
                  <c:v>Aggregate ($B/mo)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'Model by Bracket'!$A$5:$A$11</c:f>
              <c:strCache>
                <c:ptCount val="7"/>
                <c:pt idx="0">
                  <c:v>&lt;$25k</c:v>
                </c:pt>
                <c:pt idx="1">
                  <c:v>$25–50k</c:v>
                </c:pt>
                <c:pt idx="2">
                  <c:v>$50–75k</c:v>
                </c:pt>
                <c:pt idx="3">
                  <c:v>$75–100k</c:v>
                </c:pt>
                <c:pt idx="4">
                  <c:v>$100–150k</c:v>
                </c:pt>
                <c:pt idx="5">
                  <c:v>$150–200k</c:v>
                </c:pt>
                <c:pt idx="6">
                  <c:v>$200k+</c:v>
                </c:pt>
              </c:strCache>
            </c:strRef>
          </c:cat>
          <c:val>
            <c:numRef>
              <c:f>'Model by Bracket'!$O$5:$O$11</c:f>
              <c:numCache>
                <c:formatCode>\$#,##0.0;"($"#,##0.0\);\-</c:formatCode>
                <c:ptCount val="7"/>
                <c:pt idx="0">
                  <c:v>1.9539381153085</c:v>
                </c:pt>
                <c:pt idx="1">
                  <c:v>2.76545308774642</c:v>
                </c:pt>
                <c:pt idx="2">
                  <c:v>2.88639910751732</c:v>
                </c:pt>
                <c:pt idx="3">
                  <c:v>3.2724894813893</c:v>
                </c:pt>
                <c:pt idx="4">
                  <c:v>4.60443312854693</c:v>
                </c:pt>
                <c:pt idx="5">
                  <c:v>3.03546926670087</c:v>
                </c:pt>
                <c:pt idx="6">
                  <c:v>6.13924417139591</c:v>
                </c:pt>
              </c:numCache>
            </c:numRef>
          </c:val>
        </c:ser>
        <c:gapWidth val="150"/>
        <c:overlap val="0"/>
        <c:axId val="17965527"/>
        <c:axId val="57853580"/>
      </c:barChart>
      <c:catAx>
        <c:axId val="179655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853580"/>
        <c:crosses val="autoZero"/>
        <c:auto val="1"/>
        <c:lblAlgn val="ctr"/>
        <c:lblOffset val="100"/>
        <c:noMultiLvlLbl val="0"/>
      </c:catAx>
      <c:valAx>
        <c:axId val="578535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.0;&quot;($&quot;#,##0.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96552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Per-household hit ($/mo) vs effective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'Model by Bracket'!N4</c:f>
              <c:strCache>
                <c:ptCount val="1"/>
                <c:pt idx="0">
                  <c:v>Per-HH Dec hit ($/mo)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'Model by Bracket'!$A$5:$A$11</c:f>
              <c:strCache>
                <c:ptCount val="7"/>
                <c:pt idx="0">
                  <c:v>&lt;$25k</c:v>
                </c:pt>
                <c:pt idx="1">
                  <c:v>$25–50k</c:v>
                </c:pt>
                <c:pt idx="2">
                  <c:v>$50–75k</c:v>
                </c:pt>
                <c:pt idx="3">
                  <c:v>$75–100k</c:v>
                </c:pt>
                <c:pt idx="4">
                  <c:v>$100–150k</c:v>
                </c:pt>
                <c:pt idx="5">
                  <c:v>$150–200k</c:v>
                </c:pt>
                <c:pt idx="6">
                  <c:v>$200k+</c:v>
                </c:pt>
              </c:strCache>
            </c:strRef>
          </c:cat>
          <c:val>
            <c:numRef>
              <c:f>'Model by Bracket'!$N$5:$N$11</c:f>
              <c:numCache>
                <c:formatCode>\$#,##0;"($"#,##0\);\-</c:formatCode>
                <c:ptCount val="7"/>
                <c:pt idx="0">
                  <c:v>105.618276503162</c:v>
                </c:pt>
                <c:pt idx="1">
                  <c:v>126.27639670075</c:v>
                </c:pt>
                <c:pt idx="2">
                  <c:v>151.915742500912</c:v>
                </c:pt>
                <c:pt idx="3">
                  <c:v>179.80711436205</c:v>
                </c:pt>
                <c:pt idx="4">
                  <c:v>218.219579551987</c:v>
                </c:pt>
                <c:pt idx="5">
                  <c:v>250.865228652965</c:v>
                </c:pt>
                <c:pt idx="6">
                  <c:v>290.95943940265</c:v>
                </c:pt>
              </c:numCache>
            </c:numRef>
          </c:val>
        </c:ser>
        <c:gapWidth val="150"/>
        <c:overlap val="0"/>
        <c:axId val="37620402"/>
        <c:axId val="18431122"/>
      </c:barChart>
      <c:lineChart>
        <c:grouping val="standard"/>
        <c:varyColors val="0"/>
        <c:ser>
          <c:idx val="1"/>
          <c:order val="1"/>
          <c:tx>
            <c:strRef>
              <c:f>'Model by Bracket'!M4</c:f>
              <c:strCache>
                <c:ptCount val="1"/>
                <c:pt idx="0">
                  <c:v>Effective Dec rate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'Model by Bracket'!$A$5:$A$11</c:f>
              <c:strCache>
                <c:ptCount val="7"/>
                <c:pt idx="0">
                  <c:v>&lt;$25k</c:v>
                </c:pt>
                <c:pt idx="1">
                  <c:v>$25–50k</c:v>
                </c:pt>
                <c:pt idx="2">
                  <c:v>$50–75k</c:v>
                </c:pt>
                <c:pt idx="3">
                  <c:v>$75–100k</c:v>
                </c:pt>
                <c:pt idx="4">
                  <c:v>$100–150k</c:v>
                </c:pt>
                <c:pt idx="5">
                  <c:v>$150–200k</c:v>
                </c:pt>
                <c:pt idx="6">
                  <c:v>$200k+</c:v>
                </c:pt>
              </c:strCache>
            </c:strRef>
          </c:cat>
          <c:val>
            <c:numRef>
              <c:f>'Model by Bracket'!$M$5:$M$11</c:f>
              <c:numCache>
                <c:formatCode>0.0%</c:formatCode>
                <c:ptCount val="7"/>
                <c:pt idx="0">
                  <c:v>0.0384066460011498</c:v>
                </c:pt>
                <c:pt idx="1">
                  <c:v>0.0360789704859286</c:v>
                </c:pt>
                <c:pt idx="2">
                  <c:v>0.0331693760919021</c:v>
                </c:pt>
                <c:pt idx="3">
                  <c:v>0.0308417005766809</c:v>
                </c:pt>
                <c:pt idx="4">
                  <c:v>0.029095943940265</c:v>
                </c:pt>
                <c:pt idx="5">
                  <c:v>0.0261863495462385</c:v>
                </c:pt>
                <c:pt idx="6">
                  <c:v>0.023276755152212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9511582"/>
        <c:axId val="74176134"/>
      </c:lineChart>
      <c:catAx>
        <c:axId val="3762040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431122"/>
        <c:crosses val="autoZero"/>
        <c:auto val="1"/>
        <c:lblAlgn val="ctr"/>
        <c:lblOffset val="100"/>
        <c:noMultiLvlLbl val="0"/>
      </c:catAx>
      <c:valAx>
        <c:axId val="1843112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$/mo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620402"/>
        <c:crosses val="autoZero"/>
        <c:crossBetween val="between"/>
      </c:valAx>
      <c:catAx>
        <c:axId val="59511582"/>
        <c:scaling>
          <c:orientation val="minMax"/>
        </c:scaling>
        <c:delete val="0"/>
        <c:axPos val="t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176134"/>
        <c:crosses val="autoZero"/>
        <c:auto val="1"/>
        <c:lblAlgn val="ctr"/>
        <c:lblOffset val="100"/>
        <c:noMultiLvlLbl val="0"/>
      </c:catAx>
      <c:valAx>
        <c:axId val="7417613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Effective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511582"/>
        <c:crosses val="max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committed bills: housing + student + card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'Model by Bracket'!E4</c:f>
              <c:strCache>
                <c:ptCount val="1"/>
                <c:pt idx="0">
                  <c:v>Housing $/mo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'Model by Bracket'!$A$5:$A$11</c:f>
              <c:strCache>
                <c:ptCount val="7"/>
                <c:pt idx="0">
                  <c:v>&lt;$25k</c:v>
                </c:pt>
                <c:pt idx="1">
                  <c:v>$25–50k</c:v>
                </c:pt>
                <c:pt idx="2">
                  <c:v>$50–75k</c:v>
                </c:pt>
                <c:pt idx="3">
                  <c:v>$75–100k</c:v>
                </c:pt>
                <c:pt idx="4">
                  <c:v>$100–150k</c:v>
                </c:pt>
                <c:pt idx="5">
                  <c:v>$150–200k</c:v>
                </c:pt>
                <c:pt idx="6">
                  <c:v>$200k+</c:v>
                </c:pt>
              </c:strCache>
            </c:strRef>
          </c:cat>
          <c:val>
            <c:numRef>
              <c:f>'Model by Bracket'!$E$5:$E$11</c:f>
              <c:numCache>
                <c:formatCode>\$#,##0;"($"#,##0\);\-</c:formatCode>
                <c:ptCount val="7"/>
                <c:pt idx="0">
                  <c:v>1155</c:v>
                </c:pt>
                <c:pt idx="1">
                  <c:v>1365</c:v>
                </c:pt>
                <c:pt idx="2">
                  <c:v>1648.8</c:v>
                </c:pt>
                <c:pt idx="3">
                  <c:v>1982.2</c:v>
                </c:pt>
                <c:pt idx="4">
                  <c:v>2400</c:v>
                </c:pt>
                <c:pt idx="5">
                  <c:v>2874</c:v>
                </c:pt>
                <c:pt idx="6">
                  <c:v>3625</c:v>
                </c:pt>
              </c:numCache>
            </c:numRef>
          </c:val>
        </c:ser>
        <c:ser>
          <c:idx val="1"/>
          <c:order val="1"/>
          <c:tx>
            <c:strRef>
              <c:f>'Model by Bracket'!P4</c:f>
              <c:strCache>
                <c:ptCount val="1"/>
                <c:pt idx="0">
                  <c:v>Exp student/mo ($)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'Model by Bracket'!$A$5:$A$11</c:f>
              <c:strCache>
                <c:ptCount val="7"/>
                <c:pt idx="0">
                  <c:v>&lt;$25k</c:v>
                </c:pt>
                <c:pt idx="1">
                  <c:v>$25–50k</c:v>
                </c:pt>
                <c:pt idx="2">
                  <c:v>$50–75k</c:v>
                </c:pt>
                <c:pt idx="3">
                  <c:v>$75–100k</c:v>
                </c:pt>
                <c:pt idx="4">
                  <c:v>$100–150k</c:v>
                </c:pt>
                <c:pt idx="5">
                  <c:v>$150–200k</c:v>
                </c:pt>
                <c:pt idx="6">
                  <c:v>$200k+</c:v>
                </c:pt>
              </c:strCache>
            </c:strRef>
          </c:cat>
          <c:val>
            <c:numRef>
              <c:f>'Model by Bracket'!$P$5:$P$11</c:f>
              <c:numCache>
                <c:formatCode>\$#,##0;"($"#,##0\);\-</c:formatCode>
                <c:ptCount val="7"/>
                <c:pt idx="0">
                  <c:v>29.304</c:v>
                </c:pt>
                <c:pt idx="1">
                  <c:v>55.944</c:v>
                </c:pt>
                <c:pt idx="2">
                  <c:v>90.576</c:v>
                </c:pt>
                <c:pt idx="3">
                  <c:v>118.104</c:v>
                </c:pt>
                <c:pt idx="4">
                  <c:v>146.52</c:v>
                </c:pt>
                <c:pt idx="5">
                  <c:v>150.072</c:v>
                </c:pt>
                <c:pt idx="6">
                  <c:v>119.88</c:v>
                </c:pt>
              </c:numCache>
            </c:numRef>
          </c:val>
        </c:ser>
        <c:ser>
          <c:idx val="2"/>
          <c:order val="2"/>
          <c:tx>
            <c:strRef>
              <c:f>'Model by Bracket'!Q4</c:f>
              <c:strCache>
                <c:ptCount val="1"/>
                <c:pt idx="0">
                  <c:v>Exp card/mo ($)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'Model by Bracket'!$A$5:$A$11</c:f>
              <c:strCache>
                <c:ptCount val="7"/>
                <c:pt idx="0">
                  <c:v>&lt;$25k</c:v>
                </c:pt>
                <c:pt idx="1">
                  <c:v>$25–50k</c:v>
                </c:pt>
                <c:pt idx="2">
                  <c:v>$50–75k</c:v>
                </c:pt>
                <c:pt idx="3">
                  <c:v>$75–100k</c:v>
                </c:pt>
                <c:pt idx="4">
                  <c:v>$100–150k</c:v>
                </c:pt>
                <c:pt idx="5">
                  <c:v>$150–200k</c:v>
                </c:pt>
                <c:pt idx="6">
                  <c:v>$200k+</c:v>
                </c:pt>
              </c:strCache>
            </c:strRef>
          </c:cat>
          <c:val>
            <c:numRef>
              <c:f>'Model by Bracket'!$Q$5:$Q$11</c:f>
              <c:numCache>
                <c:formatCode>\$#,##0;"($"#,##0\);\-</c:formatCode>
                <c:ptCount val="7"/>
                <c:pt idx="0">
                  <c:v>34.02</c:v>
                </c:pt>
                <c:pt idx="1">
                  <c:v>60.48</c:v>
                </c:pt>
                <c:pt idx="2">
                  <c:v>82.5</c:v>
                </c:pt>
                <c:pt idx="3">
                  <c:v>97.5</c:v>
                </c:pt>
                <c:pt idx="4">
                  <c:v>109.98</c:v>
                </c:pt>
                <c:pt idx="5">
                  <c:v>118.68</c:v>
                </c:pt>
                <c:pt idx="6">
                  <c:v>125.4</c:v>
                </c:pt>
              </c:numCache>
            </c:numRef>
          </c:val>
        </c:ser>
        <c:gapWidth val="150"/>
        <c:overlap val="100"/>
        <c:axId val="92389353"/>
        <c:axId val="56022354"/>
      </c:barChart>
      <c:catAx>
        <c:axId val="9238935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022354"/>
        <c:crosses val="autoZero"/>
        <c:auto val="1"/>
        <c:lblAlgn val="ctr"/>
        <c:lblOffset val="100"/>
        <c:noMultiLvlLbl val="0"/>
      </c:catAx>
      <c:valAx>
        <c:axId val="560223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$/mo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8935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160560</xdr:rowOff>
    </xdr:from>
    <xdr:to>
      <xdr:col>9</xdr:col>
      <xdr:colOff>250920</xdr:colOff>
      <xdr:row>16</xdr:row>
      <xdr:rowOff>177480</xdr:rowOff>
    </xdr:to>
    <xdr:graphicFrame>
      <xdr:nvGraphicFramePr>
        <xdr:cNvPr id="0" name="Chart 1"/>
        <xdr:cNvGraphicFramePr/>
      </xdr:nvGraphicFramePr>
      <xdr:xfrm>
        <a:off x="0" y="379800"/>
        <a:ext cx="5754600" cy="287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160560</xdr:rowOff>
    </xdr:from>
    <xdr:to>
      <xdr:col>9</xdr:col>
      <xdr:colOff>250920</xdr:colOff>
      <xdr:row>33</xdr:row>
      <xdr:rowOff>177840</xdr:rowOff>
    </xdr:to>
    <xdr:graphicFrame>
      <xdr:nvGraphicFramePr>
        <xdr:cNvPr id="1" name="Chart 2"/>
        <xdr:cNvGraphicFramePr/>
      </xdr:nvGraphicFramePr>
      <xdr:xfrm>
        <a:off x="0" y="3618000"/>
        <a:ext cx="5754600" cy="287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35</xdr:row>
      <xdr:rowOff>160560</xdr:rowOff>
    </xdr:from>
    <xdr:to>
      <xdr:col>9</xdr:col>
      <xdr:colOff>250920</xdr:colOff>
      <xdr:row>50</xdr:row>
      <xdr:rowOff>177840</xdr:rowOff>
    </xdr:to>
    <xdr:graphicFrame>
      <xdr:nvGraphicFramePr>
        <xdr:cNvPr id="2" name="Chart 3"/>
        <xdr:cNvGraphicFramePr/>
      </xdr:nvGraphicFramePr>
      <xdr:xfrm>
        <a:off x="0" y="6856560"/>
        <a:ext cx="5754600" cy="287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0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5" customFormat="false" ht="15" hidden="false" customHeight="true" outlineLevel="0" collapsed="false">
      <c r="A5" s="4" t="s">
        <v>2</v>
      </c>
    </row>
    <row r="6" customFormat="false" ht="15" hidden="false" customHeight="true" outlineLevel="0" collapsed="false">
      <c r="A6" s="5" t="s">
        <v>3</v>
      </c>
    </row>
    <row r="7" customFormat="false" ht="15" hidden="false" customHeight="true" outlineLevel="0" collapsed="false">
      <c r="A7" s="5" t="s">
        <v>4</v>
      </c>
    </row>
    <row r="8" customFormat="false" ht="15" hidden="false" customHeight="true" outlineLevel="0" collapsed="false">
      <c r="A8" s="5" t="s">
        <v>5</v>
      </c>
    </row>
    <row r="10" customFormat="false" ht="15" hidden="false" customHeight="true" outlineLevel="0" collapsed="false">
      <c r="A10" s="4" t="s">
        <v>6</v>
      </c>
    </row>
    <row r="11" customFormat="false" ht="15" hidden="false" customHeight="true" outlineLevel="0" collapsed="false">
      <c r="A11" s="5" t="s">
        <v>7</v>
      </c>
    </row>
    <row r="12" customFormat="false" ht="15" hidden="false" customHeight="true" outlineLevel="0" collapsed="false">
      <c r="A12" s="5" t="s">
        <v>8</v>
      </c>
    </row>
    <row r="13" customFormat="false" ht="15" hidden="false" customHeight="true" outlineLevel="0" collapsed="false">
      <c r="A13" s="5" t="s">
        <v>9</v>
      </c>
    </row>
    <row r="14" customFormat="false" ht="15" hidden="false" customHeight="true" outlineLevel="0" collapsed="false">
      <c r="A14" s="5" t="s">
        <v>10</v>
      </c>
    </row>
    <row r="15" customFormat="false" ht="15" hidden="false" customHeight="true" outlineLevel="0" collapsed="false">
      <c r="A15" s="5" t="s">
        <v>11</v>
      </c>
    </row>
    <row r="17" customFormat="false" ht="15" hidden="false" customHeight="true" outlineLevel="0" collapsed="false">
      <c r="A17" s="4" t="s">
        <v>12</v>
      </c>
    </row>
    <row r="18" customFormat="false" ht="15" hidden="false" customHeight="true" outlineLevel="0" collapsed="false">
      <c r="A18" s="5" t="s">
        <v>13</v>
      </c>
    </row>
    <row r="19" customFormat="false" ht="15" hidden="false" customHeight="true" outlineLevel="0" collapsed="false">
      <c r="A19" s="5" t="s">
        <v>14</v>
      </c>
    </row>
    <row r="20" customFormat="false" ht="15" hidden="false" customHeight="true" outlineLevel="0" collapsed="false">
      <c r="A20" s="5" t="s">
        <v>15</v>
      </c>
    </row>
    <row r="22" customFormat="false" ht="15" hidden="false" customHeight="true" outlineLevel="0" collapsed="false">
      <c r="A22" s="4" t="s">
        <v>16</v>
      </c>
    </row>
    <row r="23" customFormat="false" ht="15" hidden="false" customHeight="true" outlineLevel="0" collapsed="false">
      <c r="A23" s="6" t="s">
        <v>17</v>
      </c>
    </row>
    <row r="24" customFormat="false" ht="15" hidden="false" customHeight="true" outlineLevel="0" collapsed="false">
      <c r="A24" s="6" t="s">
        <v>18</v>
      </c>
    </row>
    <row r="25" customFormat="false" ht="15" hidden="false" customHeight="true" outlineLevel="0" collapsed="false">
      <c r="A25" s="6" t="s">
        <v>19</v>
      </c>
    </row>
    <row r="26" customFormat="false" ht="15" hidden="false" customHeight="true" outlineLevel="0" collapsed="false">
      <c r="A26" s="6" t="s">
        <v>20</v>
      </c>
    </row>
    <row r="27" customFormat="false" ht="15" hidden="false" customHeight="true" outlineLevel="0" collapsed="false">
      <c r="A27" s="6" t="s">
        <v>21</v>
      </c>
    </row>
    <row r="28" customFormat="false" ht="15" hidden="false" customHeight="true" outlineLevel="0" collapsed="false">
      <c r="A28" s="6" t="s">
        <v>22</v>
      </c>
    </row>
    <row r="29" customFormat="false" ht="15" hidden="false" customHeight="true" outlineLevel="0" collapsed="false">
      <c r="A29" s="6" t="s">
        <v>23</v>
      </c>
    </row>
    <row r="30" customFormat="false" ht="15" hidden="false" customHeight="true" outlineLevel="0" collapsed="false">
      <c r="A30" s="6" t="s">
        <v>24</v>
      </c>
    </row>
    <row r="31" customFormat="false" ht="15" hidden="false" customHeight="true" outlineLevel="0" collapsed="false">
      <c r="A31" s="6" t="s">
        <v>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3" min="2" style="1" width="15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6" min="6" style="1" width="16"/>
    <col collapsed="false" customWidth="true" hidden="false" outlineLevel="0" max="7" min="7" style="1" width="14"/>
    <col collapsed="false" customWidth="true" hidden="false" outlineLevel="0" max="8" min="8" style="1" width="12"/>
    <col collapsed="false" customWidth="true" hidden="false" outlineLevel="0" max="10" min="9" style="1" width="16"/>
    <col collapsed="false" customWidth="true" hidden="false" outlineLevel="0" max="11" min="11" style="1" width="13"/>
  </cols>
  <sheetData>
    <row r="1" customFormat="false" ht="15.75" hidden="false" customHeight="true" outlineLevel="0" collapsed="false">
      <c r="A1" s="36" t="s">
        <v>310</v>
      </c>
    </row>
    <row r="2" customFormat="false" ht="39.75" hidden="false" customHeight="true" outlineLevel="0" collapsed="false">
      <c r="A2" s="56" t="s">
        <v>311</v>
      </c>
    </row>
    <row r="4" customFormat="false" ht="15" hidden="false" customHeight="true" outlineLevel="0" collapsed="false">
      <c r="A4" s="64" t="s">
        <v>312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customFormat="false" ht="43.5" hidden="false" customHeight="true" outlineLevel="0" collapsed="false">
      <c r="A5" s="43" t="s">
        <v>313</v>
      </c>
      <c r="B5" s="43" t="s">
        <v>314</v>
      </c>
      <c r="C5" s="43" t="s">
        <v>315</v>
      </c>
      <c r="D5" s="43" t="s">
        <v>316</v>
      </c>
      <c r="E5" s="43" t="s">
        <v>317</v>
      </c>
      <c r="F5" s="43" t="s">
        <v>318</v>
      </c>
      <c r="G5" s="43" t="s">
        <v>319</v>
      </c>
      <c r="H5" s="43" t="s">
        <v>320</v>
      </c>
      <c r="I5" s="43" t="s">
        <v>321</v>
      </c>
      <c r="J5" s="43" t="s">
        <v>322</v>
      </c>
      <c r="K5" s="43" t="s">
        <v>323</v>
      </c>
    </row>
    <row r="6" customFormat="false" ht="15" hidden="false" customHeight="true" outlineLevel="0" collapsed="false">
      <c r="H6" s="3" t="n">
        <v>0</v>
      </c>
      <c r="I6" s="3" t="n">
        <v>0</v>
      </c>
      <c r="J6" s="3" t="n">
        <v>0</v>
      </c>
      <c r="K6" s="3" t="n">
        <v>0</v>
      </c>
    </row>
    <row r="7" customFormat="false" ht="15" hidden="false" customHeight="true" outlineLevel="0" collapsed="false">
      <c r="A7" s="1" t="s">
        <v>81</v>
      </c>
      <c r="B7" s="66" t="n">
        <f aca="false">'Model by Bracket'!B5</f>
        <v>18.5</v>
      </c>
      <c r="C7" s="67" t="n">
        <f aca="false">'Model by Bracket'!N5</f>
        <v>105.618276503162</v>
      </c>
      <c r="D7" s="47" t="n">
        <v>1250</v>
      </c>
      <c r="E7" s="38" t="n">
        <v>0.05</v>
      </c>
      <c r="F7" s="1" t="n">
        <f aca="false">D7*(1-E7)</f>
        <v>1187.5</v>
      </c>
      <c r="G7" s="40" t="n">
        <f aca="false">C7/F7</f>
        <v>0.0889417065289784</v>
      </c>
      <c r="H7" s="68" t="n">
        <f aca="false">SUM(B$7:B7)/SUM(B$7:B$13)</f>
        <v>0.140257771038666</v>
      </c>
      <c r="I7" s="68" t="n">
        <f aca="false">SUMPRODUCT(B$7:B7,D$7:D7)/SUMPRODUCT(B$7:B$13,D$7:D$13)</f>
        <v>0.0185447759907341</v>
      </c>
      <c r="J7" s="68" t="n">
        <f aca="false">SUMPRODUCT(B$7:B7,F$7:F7)/SUMPRODUCT(B$7:B$13,F$7:F$13)</f>
        <v>0.0227881255625464</v>
      </c>
      <c r="K7" s="68" t="n">
        <f aca="false">SUMPRODUCT(B$7:B7,C$7:C7)/SUMPRODUCT(B$7:B$13,C$7:C$13)</f>
        <v>0.0792433925135332</v>
      </c>
    </row>
    <row r="8" customFormat="false" ht="15" hidden="false" customHeight="true" outlineLevel="0" collapsed="false">
      <c r="A8" s="1" t="s">
        <v>82</v>
      </c>
      <c r="B8" s="66" t="n">
        <f aca="false">'Model by Bracket'!B6</f>
        <v>21.9</v>
      </c>
      <c r="C8" s="67" t="n">
        <f aca="false">'Model by Bracket'!N6</f>
        <v>126.27639670075</v>
      </c>
      <c r="D8" s="47" t="n">
        <v>3125</v>
      </c>
      <c r="E8" s="38" t="n">
        <v>0.1</v>
      </c>
      <c r="F8" s="1" t="n">
        <f aca="false">D8*(1-E8)</f>
        <v>2812.5</v>
      </c>
      <c r="G8" s="40" t="n">
        <f aca="false">C8/F8</f>
        <v>0.0448982743824889</v>
      </c>
      <c r="H8" s="68" t="n">
        <f aca="false">SUM(B$7:B8)/SUM(B$7:B$13)</f>
        <v>0.306292645943897</v>
      </c>
      <c r="I8" s="68" t="n">
        <f aca="false">SUMPRODUCT(B$7:B8,D$7:D8)/SUMPRODUCT(B$7:B$13,D$7:D$13)</f>
        <v>0.0734272887200688</v>
      </c>
      <c r="J8" s="68" t="n">
        <f aca="false">SUMPRODUCT(B$7:B8,F$7:F8)/SUMPRODUCT(B$7:B$13,F$7:F$13)</f>
        <v>0.0866791575451624</v>
      </c>
      <c r="K8" s="68" t="n">
        <f aca="false">SUMPRODUCT(B$7:B8,C$7:C8)/SUMPRODUCT(B$7:B$13,C$7:C$13)</f>
        <v>0.191398369579147</v>
      </c>
    </row>
    <row r="9" customFormat="false" ht="15" hidden="false" customHeight="true" outlineLevel="0" collapsed="false">
      <c r="A9" s="1" t="s">
        <v>83</v>
      </c>
      <c r="B9" s="66" t="n">
        <f aca="false">'Model by Bracket'!B7</f>
        <v>19</v>
      </c>
      <c r="C9" s="67" t="n">
        <f aca="false">'Model by Bracket'!N7</f>
        <v>151.915742500912</v>
      </c>
      <c r="D9" s="47" t="n">
        <v>5208</v>
      </c>
      <c r="E9" s="38" t="n">
        <v>0.15</v>
      </c>
      <c r="F9" s="1" t="n">
        <f aca="false">D9*(1-E9)</f>
        <v>4426.8</v>
      </c>
      <c r="G9" s="40" t="n">
        <f aca="false">C9/F9</f>
        <v>0.0343172816709387</v>
      </c>
      <c r="H9" s="68" t="n">
        <f aca="false">SUM(B$7:B9)/SUM(B$7:B$13)</f>
        <v>0.450341167551175</v>
      </c>
      <c r="I9" s="68" t="n">
        <f aca="false">SUMPRODUCT(B$7:B9,D$7:D9)/SUMPRODUCT(B$7:B$13,D$7:D$13)</f>
        <v>0.152780485426452</v>
      </c>
      <c r="J9" s="68" t="n">
        <f aca="false">SUMPRODUCT(B$7:B9,F$7:F9)/SUMPRODUCT(B$7:B$13,F$7:F$13)</f>
        <v>0.173925405536756</v>
      </c>
      <c r="K9" s="68" t="n">
        <f aca="false">SUMPRODUCT(B$7:B9,C$7:C9)/SUMPRODUCT(B$7:B$13,C$7:C$13)</f>
        <v>0.308458401130655</v>
      </c>
    </row>
    <row r="10" customFormat="false" ht="15" hidden="false" customHeight="true" outlineLevel="0" collapsed="false">
      <c r="A10" s="1" t="s">
        <v>84</v>
      </c>
      <c r="B10" s="66" t="n">
        <f aca="false">'Model by Bracket'!B8</f>
        <v>18.2</v>
      </c>
      <c r="C10" s="67" t="n">
        <f aca="false">'Model by Bracket'!N8</f>
        <v>179.80711436205</v>
      </c>
      <c r="D10" s="47" t="n">
        <v>7292</v>
      </c>
      <c r="E10" s="38" t="n">
        <v>0.18</v>
      </c>
      <c r="F10" s="1" t="n">
        <f aca="false">D10*(1-E10)</f>
        <v>5979.44</v>
      </c>
      <c r="G10" s="40" t="n">
        <f aca="false">C10/F10</f>
        <v>0.0300708953283333</v>
      </c>
      <c r="H10" s="68" t="n">
        <f aca="false">SUM(B$7:B10)/SUM(B$7:B$13)</f>
        <v>0.588324488248673</v>
      </c>
      <c r="I10" s="68" t="n">
        <f aca="false">SUMPRODUCT(B$7:B10,D$7:D10)/SUMPRODUCT(B$7:B$13,D$7:D$13)</f>
        <v>0.259208974885682</v>
      </c>
      <c r="J10" s="68" t="n">
        <f aca="false">SUMPRODUCT(B$7:B10,F$7:F10)/SUMPRODUCT(B$7:B$13,F$7:F$13)</f>
        <v>0.286810124838017</v>
      </c>
      <c r="K10" s="68" t="n">
        <f aca="false">SUMPRODUCT(B$7:B10,C$7:C10)/SUMPRODUCT(B$7:B$13,C$7:C$13)</f>
        <v>0.441176610800871</v>
      </c>
    </row>
    <row r="11" customFormat="false" ht="15" hidden="false" customHeight="true" outlineLevel="0" collapsed="false">
      <c r="A11" s="1" t="s">
        <v>85</v>
      </c>
      <c r="B11" s="66" t="n">
        <f aca="false">'Model by Bracket'!B9</f>
        <v>21.1</v>
      </c>
      <c r="C11" s="67" t="n">
        <f aca="false">'Model by Bracket'!N9</f>
        <v>218.219579551987</v>
      </c>
      <c r="D11" s="47" t="n">
        <v>10417</v>
      </c>
      <c r="E11" s="38" t="n">
        <v>0.21</v>
      </c>
      <c r="F11" s="1" t="n">
        <f aca="false">D11*(1-E11)</f>
        <v>8229.43</v>
      </c>
      <c r="G11" s="40" t="n">
        <f aca="false">C11/F11</f>
        <v>0.0265169737821438</v>
      </c>
      <c r="H11" s="68" t="n">
        <f aca="false">SUM(B$7:B11)/SUM(B$7:B$13)</f>
        <v>0.748294162244124</v>
      </c>
      <c r="I11" s="68" t="n">
        <f aca="false">SUMPRODUCT(B$7:B11,D$7:D11)/SUMPRODUCT(B$7:B$13,D$7:D$13)</f>
        <v>0.435473522109663</v>
      </c>
      <c r="J11" s="68" t="n">
        <f aca="false">SUMPRODUCT(B$7:B11,F$7:F11)/SUMPRODUCT(B$7:B$13,F$7:F$13)</f>
        <v>0.466927441277356</v>
      </c>
      <c r="K11" s="68" t="n">
        <f aca="false">SUMPRODUCT(B$7:B11,C$7:C11)/SUMPRODUCT(B$7:B$13,C$7:C$13)</f>
        <v>0.627912771403457</v>
      </c>
    </row>
    <row r="12" customFormat="false" ht="15" hidden="false" customHeight="true" outlineLevel="0" collapsed="false">
      <c r="A12" s="1" t="s">
        <v>86</v>
      </c>
      <c r="B12" s="66" t="n">
        <f aca="false">'Model by Bracket'!B10</f>
        <v>12.1</v>
      </c>
      <c r="C12" s="67" t="n">
        <f aca="false">'Model by Bracket'!N10</f>
        <v>250.865228652965</v>
      </c>
      <c r="D12" s="47" t="n">
        <v>14583</v>
      </c>
      <c r="E12" s="38" t="n">
        <v>0.24</v>
      </c>
      <c r="F12" s="1" t="n">
        <f aca="false">D12*(1-E12)</f>
        <v>11083.08</v>
      </c>
      <c r="G12" s="40" t="n">
        <f aca="false">C12/F12</f>
        <v>0.0226349740914046</v>
      </c>
      <c r="H12" s="68" t="n">
        <f aca="false">SUM(B$7:B12)/SUM(B$7:B$13)</f>
        <v>0.840030326004549</v>
      </c>
      <c r="I12" s="68" t="n">
        <f aca="false">SUMPRODUCT(B$7:B12,D$7:D12)/SUMPRODUCT(B$7:B$13,D$7:D$13)</f>
        <v>0.576978623346498</v>
      </c>
      <c r="J12" s="68" t="n">
        <f aca="false">SUMPRODUCT(B$7:B12,F$7:F12)/SUMPRODUCT(B$7:B$13,F$7:F$13)</f>
        <v>0.606034476761075</v>
      </c>
      <c r="K12" s="68" t="n">
        <f aca="false">SUMPRODUCT(B$7:B12,C$7:C12)/SUMPRODUCT(B$7:B$13,C$7:C$13)</f>
        <v>0.751018452529886</v>
      </c>
    </row>
    <row r="13" customFormat="false" ht="15" hidden="false" customHeight="true" outlineLevel="0" collapsed="false">
      <c r="A13" s="1" t="s">
        <v>87</v>
      </c>
      <c r="B13" s="66" t="n">
        <f aca="false">'Model by Bracket'!B11</f>
        <v>21.1</v>
      </c>
      <c r="C13" s="67" t="n">
        <f aca="false">'Model by Bracket'!N11</f>
        <v>290.95943940265</v>
      </c>
      <c r="D13" s="47" t="n">
        <v>25000</v>
      </c>
      <c r="E13" s="38" t="n">
        <v>0.28</v>
      </c>
      <c r="F13" s="1" t="n">
        <f aca="false">D13*(1-E13)</f>
        <v>18000</v>
      </c>
      <c r="G13" s="40" t="n">
        <f aca="false">C13/F13</f>
        <v>0.0161644133001472</v>
      </c>
      <c r="H13" s="68" t="n">
        <f aca="false">SUM(B$7:B13)/SUM(B$7:B$13)</f>
        <v>1</v>
      </c>
      <c r="I13" s="68" t="n">
        <f aca="false">SUMPRODUCT(B$7:B13,D$7:D13)/SUMPRODUCT(B$7:B$13,D$7:D$13)</f>
        <v>1</v>
      </c>
      <c r="J13" s="68" t="n">
        <f aca="false">SUMPRODUCT(B$7:B13,F$7:F13)/SUMPRODUCT(B$7:B$13,F$7:F$13)</f>
        <v>1</v>
      </c>
      <c r="K13" s="68" t="n">
        <f aca="false">SUMPRODUCT(B$7:B13,C$7:C13)/SUMPRODUCT(B$7:B$13,C$7:C$13)</f>
        <v>1</v>
      </c>
    </row>
    <row r="14" customFormat="false" ht="15" hidden="false" customHeight="true" outlineLevel="0" collapsed="false">
      <c r="A14" s="37" t="s">
        <v>324</v>
      </c>
      <c r="B14" s="37" t="s">
        <v>325</v>
      </c>
    </row>
    <row r="15" customFormat="false" ht="15" hidden="false" customHeight="true" outlineLevel="0" collapsed="false">
      <c r="A15" s="5" t="s">
        <v>326</v>
      </c>
      <c r="B15" s="69" t="n">
        <f aca="false">1-2*SUMPRODUCT(0.5*(I7:I13+I6:I12),(H7:H13-H6:H12))</f>
        <v>0.436420446863591</v>
      </c>
    </row>
    <row r="16" customFormat="false" ht="15" hidden="false" customHeight="true" outlineLevel="0" collapsed="false">
      <c r="A16" s="5" t="s">
        <v>327</v>
      </c>
      <c r="B16" s="69" t="n">
        <f aca="false">1-2*SUMPRODUCT(0.5*(J7:J13+J6:J12),(H7:H13-H6:H12))</f>
        <v>0.401593506540551</v>
      </c>
    </row>
    <row r="17" customFormat="false" ht="15" hidden="false" customHeight="true" outlineLevel="0" collapsed="false">
      <c r="A17" s="13" t="s">
        <v>328</v>
      </c>
      <c r="B17" s="70" t="n">
        <f aca="false">1-2*SUMPRODUCT(0.5*(K7:K13+K6:K12),(H7:H13-H6:H12))</f>
        <v>0.190879178662203</v>
      </c>
    </row>
    <row r="18" customFormat="false" ht="15" hidden="false" customHeight="true" outlineLevel="0" collapsed="false">
      <c r="A18" s="13" t="s">
        <v>329</v>
      </c>
      <c r="B18" s="71" t="n">
        <f aca="false">1-2*SUMPRODUCT(0.5*(K7:K13+K6:K12),(I7:I13-I6:I12))</f>
        <v>-0.260057400205236</v>
      </c>
      <c r="C18" s="3" t="s">
        <v>330</v>
      </c>
    </row>
    <row r="19" customFormat="false" ht="15" hidden="false" customHeight="true" outlineLevel="0" collapsed="false">
      <c r="A19" s="5" t="s">
        <v>331</v>
      </c>
      <c r="B19" s="69" t="n">
        <f aca="false">1-2*SUMPRODUCT(0.5*(K7:K13+K6:K12),(J7:J13-J6:J12))</f>
        <v>-0.221551801639895</v>
      </c>
    </row>
    <row r="20" customFormat="false" ht="15" hidden="false" customHeight="true" outlineLevel="0" collapsed="false">
      <c r="A20" s="13" t="s">
        <v>332</v>
      </c>
      <c r="B20" s="71" t="n">
        <f aca="false">B17-B15</f>
        <v>-0.245541268201388</v>
      </c>
      <c r="C20" s="3" t="s">
        <v>333</v>
      </c>
    </row>
    <row r="21" customFormat="false" ht="15" hidden="false" customHeight="true" outlineLevel="0" collapsed="false">
      <c r="A21" s="5" t="s">
        <v>334</v>
      </c>
      <c r="B21" s="69" t="n">
        <f aca="false">B17-B16</f>
        <v>-0.210714327878348</v>
      </c>
    </row>
    <row r="22" customFormat="false" ht="15" hidden="false" customHeight="true" outlineLevel="0" collapsed="false">
      <c r="A22" s="13" t="s">
        <v>335</v>
      </c>
      <c r="B22" s="70" t="n">
        <f aca="false">G7/G13</f>
        <v>5.50231578947369</v>
      </c>
    </row>
    <row r="24" customFormat="false" ht="15" hidden="false" customHeight="true" outlineLevel="0" collapsed="false">
      <c r="A24" s="13" t="s">
        <v>336</v>
      </c>
    </row>
    <row r="25" customFormat="false" ht="15" hidden="false" customHeight="true" outlineLevel="0" collapsed="false">
      <c r="A25" s="37" t="s">
        <v>337</v>
      </c>
      <c r="B25" s="37" t="s">
        <v>338</v>
      </c>
      <c r="C25" s="37" t="s">
        <v>339</v>
      </c>
      <c r="D25" s="37" t="s">
        <v>340</v>
      </c>
      <c r="E25" s="37" t="s">
        <v>341</v>
      </c>
    </row>
    <row r="26" customFormat="false" ht="15" hidden="false" customHeight="true" outlineLevel="0" collapsed="false">
      <c r="A26" s="1" t="s">
        <v>342</v>
      </c>
      <c r="B26" s="40" t="n">
        <v>0.0889</v>
      </c>
      <c r="C26" s="40" t="n">
        <v>0.0162</v>
      </c>
      <c r="D26" s="68" t="n">
        <v>-0.26</v>
      </c>
      <c r="E26" s="68" t="n">
        <v>-0.221</v>
      </c>
    </row>
    <row r="27" customFormat="false" ht="15" hidden="false" customHeight="true" outlineLevel="0" collapsed="false">
      <c r="A27" s="1" t="s">
        <v>343</v>
      </c>
      <c r="B27" s="40" t="n">
        <v>0.1067</v>
      </c>
      <c r="C27" s="40" t="n">
        <v>0.0194</v>
      </c>
      <c r="D27" s="68" t="n">
        <v>-0.227</v>
      </c>
      <c r="E27" s="68" t="n">
        <v>-0.189</v>
      </c>
    </row>
    <row r="28" customFormat="false" ht="15" hidden="false" customHeight="true" outlineLevel="0" collapsed="false">
      <c r="A28" s="1" t="s">
        <v>344</v>
      </c>
      <c r="B28" s="40" t="n">
        <v>0.0667</v>
      </c>
      <c r="C28" s="40" t="n">
        <v>0.0122</v>
      </c>
      <c r="D28" s="68" t="n">
        <v>-0.314</v>
      </c>
      <c r="E28" s="68" t="n">
        <v>-0.275</v>
      </c>
    </row>
    <row r="29" customFormat="false" ht="39.75" hidden="false" customHeight="true" outlineLevel="0" collapsed="false">
      <c r="A29" s="56" t="s">
        <v>345</v>
      </c>
    </row>
    <row r="31" customFormat="false" ht="15" hidden="false" customHeight="true" outlineLevel="0" collapsed="false">
      <c r="A31" s="64" t="s">
        <v>346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customFormat="false" ht="15" hidden="false" customHeight="true" outlineLevel="0" collapsed="false">
      <c r="A32" s="13" t="s">
        <v>347</v>
      </c>
    </row>
    <row r="33" customFormat="false" ht="15" hidden="false" customHeight="true" outlineLevel="0" collapsed="false">
      <c r="A33" s="13" t="s">
        <v>348</v>
      </c>
      <c r="B33" s="72" t="n">
        <f aca="false">('Model by Bracket'!O12)/(Assumptions!B16)</f>
        <v>847.45236</v>
      </c>
    </row>
    <row r="35" customFormat="false" ht="15" hidden="false" customHeight="true" outlineLevel="0" collapsed="false">
      <c r="A35" s="13" t="s">
        <v>349</v>
      </c>
    </row>
    <row r="36" customFormat="false" ht="15" hidden="false" customHeight="true" outlineLevel="0" collapsed="false">
      <c r="A36" s="37" t="s">
        <v>28</v>
      </c>
      <c r="B36" s="37" t="s">
        <v>350</v>
      </c>
      <c r="C36" s="37" t="s">
        <v>351</v>
      </c>
    </row>
    <row r="37" customFormat="false" ht="15" hidden="false" customHeight="true" outlineLevel="0" collapsed="false">
      <c r="A37" s="1" t="s">
        <v>352</v>
      </c>
      <c r="B37" s="73" t="n">
        <f aca="false">Assumptions!J12</f>
        <v>0.0110450850740238</v>
      </c>
      <c r="C37" s="74" t="n">
        <f aca="false">Assumptions!J12*B33</f>
        <v>9.36018341238224</v>
      </c>
    </row>
    <row r="38" customFormat="false" ht="15" hidden="false" customHeight="true" outlineLevel="0" collapsed="false">
      <c r="A38" s="1" t="s">
        <v>353</v>
      </c>
      <c r="B38" s="73" t="n">
        <f aca="false">Assumptions!J13</f>
        <v>0.0283362086612615</v>
      </c>
      <c r="C38" s="74" t="n">
        <f aca="false">Assumptions!J13*B33</f>
        <v>24.0135869034385</v>
      </c>
    </row>
    <row r="39" customFormat="false" ht="15" hidden="false" customHeight="true" outlineLevel="0" collapsed="false">
      <c r="A39" s="1" t="s">
        <v>354</v>
      </c>
      <c r="B39" s="73" t="n">
        <f aca="false">Assumptions!B16</f>
        <v>0.029095943940265</v>
      </c>
      <c r="C39" s="74" t="n">
        <f aca="false">Assumptions!B16*B33</f>
        <v>24.6574263586053</v>
      </c>
    </row>
    <row r="40" customFormat="false" ht="15" hidden="false" customHeight="true" outlineLevel="0" collapsed="false">
      <c r="A40" s="1" t="s">
        <v>355</v>
      </c>
      <c r="B40" s="73" t="n">
        <f aca="false">Assumptions!J14</f>
        <v>0.0521244980819606</v>
      </c>
      <c r="C40" s="74" t="n">
        <f aca="false">Assumptions!J14*B33</f>
        <v>44.173028913373</v>
      </c>
    </row>
    <row r="41" customFormat="false" ht="25.5" hidden="false" customHeight="true" outlineLevel="0" collapsed="false">
      <c r="A41" s="56" t="s">
        <v>356</v>
      </c>
    </row>
    <row r="43" customFormat="false" ht="15" hidden="false" customHeight="true" outlineLevel="0" collapsed="false">
      <c r="A43" s="13" t="s">
        <v>357</v>
      </c>
    </row>
    <row r="44" customFormat="false" ht="15" hidden="false" customHeight="true" outlineLevel="0" collapsed="false">
      <c r="A44" s="37" t="s">
        <v>358</v>
      </c>
      <c r="B44" s="37" t="s">
        <v>359</v>
      </c>
      <c r="C44" s="37" t="s">
        <v>360</v>
      </c>
      <c r="D44" s="37" t="s">
        <v>361</v>
      </c>
    </row>
    <row r="45" customFormat="false" ht="15" hidden="false" customHeight="true" outlineLevel="0" collapsed="false">
      <c r="A45" s="1" t="s">
        <v>362</v>
      </c>
      <c r="B45" s="74" t="n">
        <f aca="false">((Assumptions!B5-0.15)*Assumptions!J12+(Assumptions!B6*(1-(Assumptions!B5-0.15))/(Assumptions!B6+Assumptions!B7))*Assumptions!J13+(Assumptions!B7*(1-(Assumptions!B5-0.15))/(Assumptions!B6+Assumptions!B7))*Assumptions!J14)*B33</f>
        <v>27.9354069899388</v>
      </c>
      <c r="C45" s="74" t="n">
        <f aca="false">((Assumptions!B5+0.15)*Assumptions!J12+(Assumptions!B6*(1-(Assumptions!B5+0.15))/(Assumptions!B6+Assumptions!B7))*Assumptions!J13+(Assumptions!B7*(1-(Assumptions!B5+0.15))/(Assumptions!B6+Assumptions!B7))*Assumptions!J14)*B33</f>
        <v>21.3794457272718</v>
      </c>
      <c r="D45" s="74" t="n">
        <f aca="false">ABS(C45-B45)</f>
        <v>6.555961262667</v>
      </c>
    </row>
    <row r="46" customFormat="false" ht="15" hidden="false" customHeight="true" outlineLevel="0" collapsed="false">
      <c r="A46" s="1" t="s">
        <v>363</v>
      </c>
      <c r="B46" s="74" t="n">
        <f aca="false">((Assumptions!B5*(1-(Assumptions!B6-0.15))/(Assumptions!B5+Assumptions!B7))*Assumptions!J12+(Assumptions!B6-0.15)*Assumptions!J13+(Assumptions!B7*(1-(Assumptions!B6-0.15))/(Assumptions!B5+Assumptions!B7))*Assumptions!J14)*B33</f>
        <v>24.8330189372871</v>
      </c>
      <c r="C46" s="74" t="n">
        <f aca="false">((Assumptions!B5*(1-(Assumptions!B6+0.15))/(Assumptions!B5+Assumptions!B7))*Assumptions!J12+(Assumptions!B6+0.15)*Assumptions!J13+(Assumptions!B7*(1-(Assumptions!B6+0.15))/(Assumptions!B5+Assumptions!B7))*Assumptions!J14)*B33</f>
        <v>24.4818337799234</v>
      </c>
      <c r="D46" s="74" t="n">
        <f aca="false">ABS(C46-B46)</f>
        <v>0.351185157363673</v>
      </c>
    </row>
    <row r="47" customFormat="false" ht="15" hidden="false" customHeight="true" outlineLevel="0" collapsed="false">
      <c r="A47" s="1" t="s">
        <v>39</v>
      </c>
      <c r="B47" s="74" t="n">
        <f aca="false">((Assumptions!B5*(1-(Assumptions!B7-0.15))/(Assumptions!B5+Assumptions!B6))*Assumptions!J12+(Assumptions!B6*(1-(Assumptions!B7-0.15))/(Assumptions!B5+Assumptions!B6))*Assumptions!J13+(Assumptions!B7-0.15)*Assumptions!J14)*B33</f>
        <v>20.7543058476517</v>
      </c>
      <c r="C47" s="74" t="n">
        <f aca="false">((Assumptions!B5*(1-(Assumptions!B7+0.15))/(Assumptions!B5+Assumptions!B6))*Assumptions!J12+(Assumptions!B6*(1-(Assumptions!B7+0.15))/(Assumptions!B5+Assumptions!B6))*Assumptions!J13+(Assumptions!B7+0.15)*Assumptions!J14)*B33</f>
        <v>28.5605468695588</v>
      </c>
      <c r="D47" s="74" t="n">
        <f aca="false">ABS(C47-B47)</f>
        <v>7.8062410219071</v>
      </c>
    </row>
    <row r="49" customFormat="false" ht="15" hidden="false" customHeight="true" outlineLevel="0" collapsed="false">
      <c r="A49" s="3" t="s">
        <v>364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4"/>
    <col collapsed="false" customWidth="true" hidden="false" outlineLevel="0" max="8" min="2" style="1" width="12"/>
  </cols>
  <sheetData>
    <row r="1" customFormat="false" ht="15.75" hidden="false" customHeight="true" outlineLevel="0" collapsed="false">
      <c r="A1" s="36" t="s">
        <v>365</v>
      </c>
    </row>
    <row r="2" customFormat="false" ht="42" hidden="false" customHeight="true" outlineLevel="0" collapsed="false">
      <c r="A2" s="75" t="s">
        <v>366</v>
      </c>
      <c r="B2" s="75"/>
      <c r="C2" s="75"/>
      <c r="D2" s="75"/>
      <c r="E2" s="75"/>
      <c r="F2" s="75"/>
      <c r="G2" s="75"/>
      <c r="H2" s="75"/>
    </row>
    <row r="4" customFormat="false" ht="15" hidden="false" customHeight="true" outlineLevel="0" collapsed="false">
      <c r="A4" s="64" t="s">
        <v>367</v>
      </c>
      <c r="B4" s="65"/>
      <c r="C4" s="65"/>
      <c r="D4" s="65"/>
      <c r="E4" s="65"/>
      <c r="F4" s="65"/>
    </row>
    <row r="5" customFormat="false" ht="15" hidden="false" customHeight="true" outlineLevel="0" collapsed="false">
      <c r="A5" s="76" t="s">
        <v>368</v>
      </c>
      <c r="C5" s="77" t="n">
        <v>0.0290959439402652</v>
      </c>
    </row>
    <row r="6" customFormat="false" ht="15" hidden="false" customHeight="true" outlineLevel="0" collapsed="false">
      <c r="A6" s="76" t="s">
        <v>369</v>
      </c>
      <c r="C6" s="78" t="n">
        <v>24.6574263586054</v>
      </c>
    </row>
    <row r="7" customFormat="false" ht="15" hidden="false" customHeight="true" outlineLevel="0" collapsed="false">
      <c r="A7" s="76" t="s">
        <v>370</v>
      </c>
      <c r="C7" s="78" t="n">
        <v>9.36018341238205</v>
      </c>
      <c r="D7" s="79" t="s">
        <v>371</v>
      </c>
      <c r="E7" s="78" t="n">
        <v>44.1730289133732</v>
      </c>
    </row>
    <row r="9" customFormat="false" ht="15" hidden="false" customHeight="true" outlineLevel="0" collapsed="false">
      <c r="A9" s="64" t="s">
        <v>372</v>
      </c>
      <c r="B9" s="65"/>
      <c r="C9" s="65"/>
      <c r="D9" s="65"/>
      <c r="E9" s="65"/>
      <c r="F9" s="65"/>
    </row>
    <row r="10" customFormat="false" ht="15" hidden="false" customHeight="true" outlineLevel="0" collapsed="false">
      <c r="B10" s="80" t="s">
        <v>373</v>
      </c>
      <c r="C10" s="80" t="s">
        <v>374</v>
      </c>
      <c r="D10" s="80" t="s">
        <v>375</v>
      </c>
      <c r="E10" s="80" t="s">
        <v>376</v>
      </c>
      <c r="F10" s="80" t="s">
        <v>377</v>
      </c>
      <c r="G10" s="80" t="s">
        <v>378</v>
      </c>
    </row>
    <row r="11" customFormat="false" ht="15" hidden="false" customHeight="true" outlineLevel="0" collapsed="false">
      <c r="A11" s="76" t="s">
        <v>379</v>
      </c>
      <c r="B11" s="77" t="n">
        <v>0.0291370141542734</v>
      </c>
      <c r="C11" s="77" t="n">
        <v>0.00440403174401285</v>
      </c>
      <c r="D11" s="77" t="n">
        <v>0.0274747075116942</v>
      </c>
      <c r="E11" s="77" t="n">
        <v>0.0581422624976302</v>
      </c>
      <c r="F11" s="77" t="n">
        <v>0.0166985789387355</v>
      </c>
      <c r="G11" s="79" t="s">
        <v>380</v>
      </c>
    </row>
    <row r="12" customFormat="false" ht="15" hidden="false" customHeight="true" outlineLevel="0" collapsed="false">
      <c r="A12" s="76" t="s">
        <v>381</v>
      </c>
      <c r="B12" s="78" t="n">
        <v>24.6922314083924</v>
      </c>
      <c r="C12" s="78" t="n">
        <v>3.7322070949786</v>
      </c>
      <c r="D12" s="78" t="n">
        <v>23.283505721095</v>
      </c>
      <c r="E12" s="78" t="n">
        <v>49.2727975693562</v>
      </c>
      <c r="F12" s="78" t="n">
        <v>14.1512501302777</v>
      </c>
      <c r="G12" s="79" t="s">
        <v>382</v>
      </c>
    </row>
    <row r="13" customFormat="false" ht="15" hidden="false" customHeight="true" outlineLevel="0" collapsed="false">
      <c r="A13" s="79" t="s">
        <v>383</v>
      </c>
      <c r="B13" s="77" t="n">
        <v>0.0290993655957437</v>
      </c>
      <c r="C13" s="77" t="n">
        <v>0.0238377747222481</v>
      </c>
      <c r="D13" s="77" t="n">
        <v>0.0290062226360065</v>
      </c>
      <c r="E13" s="77" t="n">
        <v>0.0347009821393193</v>
      </c>
      <c r="F13" s="77" t="n">
        <v>0.00330292599739697</v>
      </c>
    </row>
    <row r="14" customFormat="false" ht="15" hidden="false" customHeight="true" outlineLevel="0" collapsed="false">
      <c r="A14" s="75" t="s">
        <v>384</v>
      </c>
      <c r="B14" s="75"/>
      <c r="C14" s="75"/>
      <c r="D14" s="75"/>
      <c r="E14" s="75"/>
      <c r="F14" s="75"/>
      <c r="G14" s="75"/>
      <c r="H14" s="75"/>
    </row>
    <row r="16" customFormat="false" ht="15" hidden="false" customHeight="true" outlineLevel="0" collapsed="false">
      <c r="A16" s="64" t="s">
        <v>385</v>
      </c>
      <c r="B16" s="65"/>
      <c r="C16" s="65"/>
      <c r="D16" s="65"/>
      <c r="E16" s="65"/>
      <c r="F16" s="65"/>
    </row>
    <row r="17" customFormat="false" ht="15" hidden="false" customHeight="true" outlineLevel="0" collapsed="false">
      <c r="A17" s="76" t="s">
        <v>386</v>
      </c>
      <c r="C17" s="81" t="n">
        <v>0.823139679508514</v>
      </c>
    </row>
    <row r="18" customFormat="false" ht="15" hidden="false" customHeight="true" outlineLevel="0" collapsed="false">
      <c r="A18" s="76" t="s">
        <v>387</v>
      </c>
      <c r="C18" s="81" t="n">
        <v>0.176860320491486</v>
      </c>
    </row>
    <row r="19" customFormat="false" ht="15" hidden="false" customHeight="true" outlineLevel="0" collapsed="false">
      <c r="A19" s="79" t="s">
        <v>388</v>
      </c>
      <c r="C19" s="79" t="s">
        <v>389</v>
      </c>
      <c r="E19" s="79" t="s">
        <v>390</v>
      </c>
      <c r="F19" s="79" t="s">
        <v>391</v>
      </c>
    </row>
    <row r="20" customFormat="false" ht="15" hidden="false" customHeight="true" outlineLevel="0" collapsed="false">
      <c r="A20" s="75" t="s">
        <v>392</v>
      </c>
      <c r="B20" s="75"/>
      <c r="C20" s="75"/>
      <c r="D20" s="75"/>
      <c r="E20" s="75"/>
      <c r="F20" s="75"/>
      <c r="G20" s="75"/>
      <c r="H20" s="75"/>
    </row>
    <row r="22" customFormat="false" ht="15" hidden="false" customHeight="true" outlineLevel="0" collapsed="false">
      <c r="A22" s="64" t="s">
        <v>393</v>
      </c>
      <c r="B22" s="65"/>
      <c r="C22" s="65"/>
      <c r="D22" s="65"/>
      <c r="E22" s="65"/>
      <c r="F22" s="65"/>
    </row>
    <row r="23" customFormat="false" ht="15" hidden="false" customHeight="true" outlineLevel="0" collapsed="false">
      <c r="A23" s="76" t="s">
        <v>394</v>
      </c>
      <c r="C23" s="81" t="n">
        <v>0.261205</v>
      </c>
    </row>
    <row r="24" customFormat="false" ht="15" hidden="false" customHeight="true" outlineLevel="0" collapsed="false">
      <c r="A24" s="79" t="s">
        <v>395</v>
      </c>
      <c r="C24" s="81" t="n">
        <v>0.132395</v>
      </c>
    </row>
    <row r="25" customFormat="false" ht="15" hidden="false" customHeight="true" outlineLevel="0" collapsed="false">
      <c r="A25" s="76" t="s">
        <v>396</v>
      </c>
      <c r="C25" s="81" t="n">
        <v>0.12475</v>
      </c>
    </row>
    <row r="26" customFormat="false" ht="15" hidden="false" customHeight="true" outlineLevel="0" collapsed="false">
      <c r="A26" s="79" t="s">
        <v>397</v>
      </c>
      <c r="C26" s="81" t="n">
        <v>0.151615</v>
      </c>
    </row>
    <row r="27" customFormat="false" ht="15" hidden="false" customHeight="true" outlineLevel="0" collapsed="false">
      <c r="A27" s="79" t="s">
        <v>398</v>
      </c>
      <c r="C27" s="81" t="n">
        <v>0.457455</v>
      </c>
    </row>
    <row r="28" customFormat="false" ht="15" hidden="false" customHeight="true" outlineLevel="0" collapsed="false">
      <c r="A28" s="75" t="s">
        <v>399</v>
      </c>
      <c r="B28" s="75"/>
      <c r="C28" s="75"/>
      <c r="D28" s="75"/>
      <c r="E28" s="75"/>
      <c r="F28" s="75"/>
      <c r="G28" s="75"/>
      <c r="H28" s="75"/>
    </row>
    <row r="30" customFormat="false" ht="15" hidden="false" customHeight="true" outlineLevel="0" collapsed="false">
      <c r="A30" s="64" t="s">
        <v>400</v>
      </c>
      <c r="B30" s="65"/>
      <c r="C30" s="65"/>
      <c r="D30" s="65"/>
      <c r="E30" s="65"/>
      <c r="F30" s="65"/>
    </row>
    <row r="31" customFormat="false" ht="15" hidden="false" customHeight="true" outlineLevel="0" collapsed="false">
      <c r="B31" s="80" t="s">
        <v>401</v>
      </c>
      <c r="C31" s="80" t="s">
        <v>402</v>
      </c>
      <c r="D31" s="80" t="s">
        <v>374</v>
      </c>
      <c r="E31" s="80" t="s">
        <v>376</v>
      </c>
    </row>
    <row r="32" customFormat="false" ht="15" hidden="false" customHeight="true" outlineLevel="0" collapsed="false">
      <c r="B32" s="79" t="s">
        <v>403</v>
      </c>
      <c r="C32" s="79" t="n">
        <v>10</v>
      </c>
      <c r="D32" s="78" t="n">
        <v>3.59927931390767</v>
      </c>
      <c r="E32" s="78" t="n">
        <v>49.4699268120715</v>
      </c>
    </row>
    <row r="33" customFormat="false" ht="15" hidden="false" customHeight="true" outlineLevel="0" collapsed="false">
      <c r="B33" s="79" t="s">
        <v>403</v>
      </c>
      <c r="C33" s="79" t="n">
        <v>20</v>
      </c>
      <c r="D33" s="78" t="n">
        <v>3.74561306556454</v>
      </c>
      <c r="E33" s="78" t="n">
        <v>49.360174316426</v>
      </c>
    </row>
    <row r="34" customFormat="false" ht="15" hidden="false" customHeight="true" outlineLevel="0" collapsed="false">
      <c r="B34" s="79" t="s">
        <v>403</v>
      </c>
      <c r="C34" s="79" t="n">
        <v>50</v>
      </c>
      <c r="D34" s="78" t="n">
        <v>3.60901314107052</v>
      </c>
      <c r="E34" s="78" t="n">
        <v>49.2390639657789</v>
      </c>
    </row>
    <row r="35" customFormat="false" ht="15" hidden="false" customHeight="true" outlineLevel="0" collapsed="false">
      <c r="B35" s="79" t="s">
        <v>404</v>
      </c>
      <c r="C35" s="79" t="n">
        <v>0.001</v>
      </c>
      <c r="D35" s="78" t="n">
        <v>4.29031988939958</v>
      </c>
      <c r="E35" s="78" t="n">
        <v>48.7610986094616</v>
      </c>
    </row>
    <row r="36" customFormat="false" ht="15" hidden="false" customHeight="true" outlineLevel="0" collapsed="false">
      <c r="B36" s="79" t="s">
        <v>404</v>
      </c>
      <c r="C36" s="79" t="n">
        <v>0.0015</v>
      </c>
      <c r="D36" s="78" t="n">
        <v>3.5512207403701</v>
      </c>
      <c r="E36" s="78" t="n">
        <v>49.4742583827932</v>
      </c>
    </row>
    <row r="37" customFormat="false" ht="15" hidden="false" customHeight="true" outlineLevel="0" collapsed="false">
      <c r="B37" s="79" t="s">
        <v>404</v>
      </c>
      <c r="C37" s="79" t="n">
        <v>0.003</v>
      </c>
      <c r="D37" s="78" t="n">
        <v>1.26584497856273</v>
      </c>
      <c r="E37" s="78" t="n">
        <v>51.3485164013063</v>
      </c>
    </row>
    <row r="38" customFormat="false" ht="15" hidden="false" customHeight="true" outlineLevel="0" collapsed="false">
      <c r="A38" s="75" t="s">
        <v>405</v>
      </c>
      <c r="B38" s="75"/>
      <c r="C38" s="75"/>
      <c r="D38" s="75"/>
      <c r="E38" s="75"/>
      <c r="F38" s="75"/>
      <c r="G38" s="75"/>
      <c r="H38" s="75"/>
    </row>
    <row r="40" customFormat="false" ht="15" hidden="false" customHeight="true" outlineLevel="0" collapsed="false">
      <c r="A40" s="64" t="s">
        <v>406</v>
      </c>
      <c r="B40" s="65"/>
      <c r="C40" s="65"/>
      <c r="D40" s="65"/>
      <c r="E40" s="65"/>
      <c r="F40" s="65"/>
    </row>
    <row r="41" customFormat="false" ht="15" hidden="false" customHeight="true" outlineLevel="0" collapsed="false">
      <c r="B41" s="80" t="s">
        <v>407</v>
      </c>
      <c r="C41" s="80" t="s">
        <v>374</v>
      </c>
      <c r="D41" s="80" t="s">
        <v>376</v>
      </c>
      <c r="E41" s="80" t="s">
        <v>408</v>
      </c>
    </row>
    <row r="42" customFormat="false" ht="15" hidden="false" customHeight="true" outlineLevel="0" collapsed="false">
      <c r="A42" s="76" t="s">
        <v>409</v>
      </c>
      <c r="B42" s="82" t="n">
        <v>-0.260057400205236</v>
      </c>
      <c r="C42" s="82" t="n">
        <v>-0.306583592605926</v>
      </c>
      <c r="D42" s="82" t="n">
        <v>-0.212853855122245</v>
      </c>
      <c r="E42" s="81" t="n">
        <v>1</v>
      </c>
    </row>
    <row r="43" customFormat="false" ht="15" hidden="false" customHeight="true" outlineLevel="0" collapsed="false">
      <c r="A43" s="79" t="s">
        <v>410</v>
      </c>
      <c r="B43" s="82" t="n">
        <v>-0.245541268201388</v>
      </c>
      <c r="C43" s="82" t="n">
        <v>-0.285292626115602</v>
      </c>
      <c r="D43" s="82" t="n">
        <v>-0.205392582600813</v>
      </c>
      <c r="E43" s="81" t="n">
        <v>1</v>
      </c>
    </row>
    <row r="44" customFormat="false" ht="15" hidden="false" customHeight="true" outlineLevel="0" collapsed="false">
      <c r="A44" s="79" t="s">
        <v>411</v>
      </c>
      <c r="B44" s="82" t="n">
        <v>-0.221551801639895</v>
      </c>
      <c r="C44" s="82" t="n">
        <v>-0.269612945596096</v>
      </c>
      <c r="D44" s="82" t="n">
        <v>-0.172749748825983</v>
      </c>
      <c r="E44" s="81" t="n">
        <v>1</v>
      </c>
    </row>
    <row r="45" customFormat="false" ht="15" hidden="false" customHeight="true" outlineLevel="0" collapsed="false">
      <c r="A45" s="79" t="s">
        <v>334</v>
      </c>
      <c r="B45" s="82" t="n">
        <v>-0.210714327878348</v>
      </c>
      <c r="C45" s="82" t="n">
        <v>-0.252201199287074</v>
      </c>
      <c r="D45" s="82" t="n">
        <v>-0.16902341681668</v>
      </c>
      <c r="E45" s="81" t="n">
        <v>1</v>
      </c>
    </row>
    <row r="46" customFormat="false" ht="42" hidden="false" customHeight="true" outlineLevel="0" collapsed="false">
      <c r="A46" s="75" t="s">
        <v>412</v>
      </c>
      <c r="B46" s="75"/>
      <c r="C46" s="75"/>
      <c r="D46" s="75"/>
      <c r="E46" s="75"/>
      <c r="F46" s="75"/>
      <c r="G46" s="75"/>
      <c r="H46" s="75"/>
    </row>
    <row r="48" customFormat="false" ht="15" hidden="false" customHeight="true" outlineLevel="0" collapsed="false">
      <c r="A48" s="64" t="s">
        <v>413</v>
      </c>
      <c r="B48" s="65"/>
      <c r="C48" s="65"/>
      <c r="D48" s="65"/>
      <c r="E48" s="65"/>
      <c r="F48" s="65"/>
    </row>
    <row r="49" customFormat="false" ht="57.75" hidden="false" customHeight="true" outlineLevel="0" collapsed="false">
      <c r="A49" s="83" t="s">
        <v>414</v>
      </c>
      <c r="B49" s="83"/>
      <c r="C49" s="83"/>
      <c r="D49" s="83"/>
      <c r="E49" s="83"/>
      <c r="F49" s="83"/>
      <c r="G49" s="83"/>
      <c r="H49" s="83"/>
    </row>
    <row r="51" customFormat="false" ht="15" hidden="false" customHeight="true" outlineLevel="0" collapsed="false">
      <c r="A51" s="84" t="s">
        <v>415</v>
      </c>
      <c r="B51" s="85"/>
      <c r="C51" s="85"/>
      <c r="D51" s="85"/>
      <c r="E51" s="85"/>
      <c r="F51" s="85"/>
      <c r="G51" s="85"/>
      <c r="H51" s="85"/>
    </row>
    <row r="52" customFormat="false" ht="15" hidden="false" customHeight="true" outlineLevel="0" collapsed="false">
      <c r="B52" s="86" t="s">
        <v>375</v>
      </c>
      <c r="C52" s="86" t="s">
        <v>376</v>
      </c>
      <c r="D52" s="86" t="s">
        <v>416</v>
      </c>
      <c r="E52" s="86" t="s">
        <v>377</v>
      </c>
      <c r="F52" s="86" t="s">
        <v>417</v>
      </c>
      <c r="G52" s="86" t="s">
        <v>418</v>
      </c>
    </row>
    <row r="53" customFormat="false" ht="15" hidden="false" customHeight="true" outlineLevel="0" collapsed="false">
      <c r="A53" s="87" t="s">
        <v>419</v>
      </c>
      <c r="B53" s="88" t="n">
        <v>23.283505721095</v>
      </c>
      <c r="C53" s="88" t="n">
        <v>49.2727975693562</v>
      </c>
      <c r="D53" s="88" t="n">
        <v>54.7994953262152</v>
      </c>
      <c r="E53" s="88" t="n">
        <v>14.1512501302777</v>
      </c>
      <c r="F53" s="89" t="n">
        <v>0.12478</v>
      </c>
      <c r="G53" s="89" t="n">
        <v>0.00114</v>
      </c>
    </row>
    <row r="54" customFormat="false" ht="15" hidden="false" customHeight="true" outlineLevel="0" collapsed="false">
      <c r="A54" s="87" t="s">
        <v>420</v>
      </c>
      <c r="B54" s="88" t="n">
        <v>23.6982815814434</v>
      </c>
      <c r="C54" s="88" t="n">
        <v>52.887316034153</v>
      </c>
      <c r="D54" s="88" t="n">
        <v>68.703951153139</v>
      </c>
      <c r="E54" s="88" t="n">
        <v>17.0915931180783</v>
      </c>
      <c r="F54" s="89" t="n">
        <v>0.147685</v>
      </c>
      <c r="G54" s="89" t="n">
        <v>0.02059</v>
      </c>
    </row>
    <row r="55" customFormat="false" ht="15" hidden="false" customHeight="true" outlineLevel="0" collapsed="false">
      <c r="A55" s="90" t="s">
        <v>421</v>
      </c>
      <c r="B55" s="88" t="n">
        <v>23.3968983602818</v>
      </c>
      <c r="C55" s="88" t="n">
        <v>54.972433525263</v>
      </c>
      <c r="D55" s="88" t="n">
        <v>75.2888434390558</v>
      </c>
      <c r="E55" s="88" t="n">
        <v>18.3728506615728</v>
      </c>
    </row>
    <row r="56" customFormat="false" ht="30" hidden="false" customHeight="true" outlineLevel="0" collapsed="false">
      <c r="A56" s="75" t="s">
        <v>422</v>
      </c>
      <c r="B56" s="75"/>
      <c r="C56" s="75"/>
      <c r="D56" s="75"/>
      <c r="E56" s="75"/>
      <c r="F56" s="75"/>
      <c r="G56" s="75"/>
      <c r="H56" s="75"/>
    </row>
    <row r="58" customFormat="false" ht="15" hidden="false" customHeight="true" outlineLevel="0" collapsed="false">
      <c r="A58" s="84" t="s">
        <v>423</v>
      </c>
      <c r="B58" s="85"/>
      <c r="C58" s="85"/>
      <c r="D58" s="85"/>
      <c r="E58" s="85"/>
      <c r="F58" s="85"/>
      <c r="G58" s="85"/>
      <c r="H58" s="85"/>
    </row>
    <row r="59" customFormat="false" ht="15" hidden="false" customHeight="true" outlineLevel="0" collapsed="false">
      <c r="A59" s="87" t="s">
        <v>424</v>
      </c>
      <c r="C59" s="91" t="n">
        <v>3.61451846479679</v>
      </c>
    </row>
    <row r="60" customFormat="false" ht="15" hidden="false" customHeight="true" outlineLevel="0" collapsed="false">
      <c r="A60" s="87" t="s">
        <v>425</v>
      </c>
      <c r="C60" s="91" t="n">
        <v>13.9044558269238</v>
      </c>
    </row>
    <row r="61" customFormat="false" ht="15" hidden="false" customHeight="true" outlineLevel="0" collapsed="false">
      <c r="A61" s="90" t="s">
        <v>426</v>
      </c>
      <c r="C61" s="90" t="s">
        <v>427</v>
      </c>
    </row>
    <row r="62" customFormat="false" ht="15" hidden="false" customHeight="true" outlineLevel="0" collapsed="false">
      <c r="A62" s="90" t="s">
        <v>428</v>
      </c>
      <c r="C62" s="90" t="s">
        <v>429</v>
      </c>
    </row>
    <row r="64" customFormat="false" ht="15" hidden="false" customHeight="true" outlineLevel="0" collapsed="false">
      <c r="A64" s="84" t="s">
        <v>430</v>
      </c>
      <c r="B64" s="85"/>
      <c r="C64" s="85"/>
      <c r="D64" s="85"/>
      <c r="E64" s="85"/>
      <c r="F64" s="85"/>
      <c r="G64" s="85"/>
      <c r="H64" s="85"/>
    </row>
    <row r="65" customFormat="false" ht="15" hidden="false" customHeight="true" outlineLevel="0" collapsed="false">
      <c r="B65" s="86" t="s">
        <v>431</v>
      </c>
      <c r="C65" s="86" t="s">
        <v>402</v>
      </c>
      <c r="D65" s="86" t="s">
        <v>376</v>
      </c>
      <c r="E65" s="86" t="s">
        <v>416</v>
      </c>
    </row>
    <row r="66" customFormat="false" ht="15" hidden="false" customHeight="true" outlineLevel="0" collapsed="false">
      <c r="B66" s="90" t="s">
        <v>432</v>
      </c>
      <c r="C66" s="90" t="n">
        <v>0.05</v>
      </c>
      <c r="D66" s="88" t="n">
        <v>51.6198439943407</v>
      </c>
      <c r="E66" s="88" t="n">
        <v>61.9371344076404</v>
      </c>
    </row>
    <row r="67" customFormat="false" ht="15" hidden="false" customHeight="true" outlineLevel="0" collapsed="false">
      <c r="B67" s="90" t="s">
        <v>432</v>
      </c>
      <c r="C67" s="90" t="n">
        <v>0.15</v>
      </c>
      <c r="D67" s="88" t="n">
        <v>53.7005824418507</v>
      </c>
      <c r="E67" s="88" t="n">
        <v>71.2895584922646</v>
      </c>
    </row>
    <row r="68" customFormat="false" ht="15" hidden="false" customHeight="true" outlineLevel="0" collapsed="false">
      <c r="B68" s="90" t="s">
        <v>432</v>
      </c>
      <c r="C68" s="90" t="n">
        <v>0.3</v>
      </c>
      <c r="D68" s="88" t="n">
        <v>57.9912819971701</v>
      </c>
      <c r="E68" s="88" t="n">
        <v>80.6533506927686</v>
      </c>
    </row>
    <row r="69" customFormat="false" ht="15" hidden="false" customHeight="true" outlineLevel="0" collapsed="false">
      <c r="B69" s="90" t="s">
        <v>433</v>
      </c>
      <c r="C69" s="90" t="n">
        <v>1.5</v>
      </c>
      <c r="D69" s="88" t="n">
        <v>52.1490477175656</v>
      </c>
      <c r="E69" s="88" t="n">
        <v>62.56006459469</v>
      </c>
    </row>
    <row r="70" customFormat="false" ht="15" hidden="false" customHeight="true" outlineLevel="0" collapsed="false">
      <c r="B70" s="90" t="s">
        <v>433</v>
      </c>
      <c r="C70" s="90" t="n">
        <v>2.5</v>
      </c>
      <c r="D70" s="88" t="n">
        <v>53.0671578389728</v>
      </c>
      <c r="E70" s="88" t="n">
        <v>68.5872596838241</v>
      </c>
    </row>
    <row r="71" customFormat="false" ht="15" hidden="false" customHeight="true" outlineLevel="0" collapsed="false">
      <c r="B71" s="90" t="s">
        <v>433</v>
      </c>
      <c r="C71" s="90" t="n">
        <v>4</v>
      </c>
      <c r="D71" s="88" t="n">
        <v>54.4990943948996</v>
      </c>
      <c r="E71" s="88" t="n">
        <v>82.3704442404455</v>
      </c>
    </row>
    <row r="72" customFormat="false" ht="15" hidden="false" customHeight="true" outlineLevel="0" collapsed="false">
      <c r="B72" s="90" t="s">
        <v>434</v>
      </c>
      <c r="C72" s="90" t="n">
        <v>0.12</v>
      </c>
      <c r="D72" s="88" t="n">
        <v>52.5446997350051</v>
      </c>
      <c r="E72" s="88" t="n">
        <v>66.0684901609423</v>
      </c>
    </row>
    <row r="73" customFormat="false" ht="15" hidden="false" customHeight="true" outlineLevel="0" collapsed="false">
      <c r="B73" s="90" t="s">
        <v>434</v>
      </c>
      <c r="C73" s="90" t="n">
        <v>0.18</v>
      </c>
      <c r="D73" s="88" t="n">
        <v>52.9353221854444</v>
      </c>
      <c r="E73" s="88" t="n">
        <v>69.7270339715802</v>
      </c>
    </row>
    <row r="74" customFormat="false" ht="15" hidden="false" customHeight="true" outlineLevel="0" collapsed="false">
      <c r="B74" s="90" t="s">
        <v>434</v>
      </c>
      <c r="C74" s="90" t="n">
        <v>0.25</v>
      </c>
      <c r="D74" s="88" t="n">
        <v>53.533736228508</v>
      </c>
      <c r="E74" s="88" t="n">
        <v>72.7014690938745</v>
      </c>
    </row>
    <row r="75" customFormat="false" ht="15" hidden="false" customHeight="true" outlineLevel="0" collapsed="false">
      <c r="B75" s="90" t="s">
        <v>435</v>
      </c>
      <c r="C75" s="90" t="n">
        <v>200</v>
      </c>
      <c r="D75" s="88" t="n">
        <v>53.1447813362028</v>
      </c>
      <c r="E75" s="88" t="n">
        <v>68.2199574500225</v>
      </c>
    </row>
    <row r="76" customFormat="false" ht="15" hidden="false" customHeight="true" outlineLevel="0" collapsed="false">
      <c r="B76" s="90" t="s">
        <v>435</v>
      </c>
      <c r="C76" s="90" t="n">
        <v>6</v>
      </c>
      <c r="D76" s="88" t="n">
        <v>53.0272946966963</v>
      </c>
      <c r="E76" s="88" t="n">
        <v>68.373307502392</v>
      </c>
    </row>
    <row r="77" customFormat="false" ht="15" hidden="false" customHeight="true" outlineLevel="0" collapsed="false">
      <c r="B77" s="90" t="s">
        <v>435</v>
      </c>
      <c r="C77" s="90" t="n">
        <v>4</v>
      </c>
      <c r="D77" s="88" t="n">
        <v>53.10147837732</v>
      </c>
      <c r="E77" s="88" t="n">
        <v>68.5298646931447</v>
      </c>
    </row>
    <row r="78" customFormat="false" ht="15" hidden="false" customHeight="true" outlineLevel="0" collapsed="false">
      <c r="B78" s="90" t="s">
        <v>435</v>
      </c>
      <c r="C78" s="90" t="n">
        <v>2.5</v>
      </c>
      <c r="D78" s="88" t="n">
        <v>52.732116342536</v>
      </c>
      <c r="E78" s="88" t="n">
        <v>68.7170647340531</v>
      </c>
    </row>
    <row r="79" customFormat="false" ht="30" hidden="false" customHeight="true" outlineLevel="0" collapsed="false">
      <c r="A79" s="75" t="s">
        <v>436</v>
      </c>
      <c r="B79" s="75"/>
      <c r="C79" s="75"/>
      <c r="D79" s="75"/>
      <c r="E79" s="75"/>
      <c r="F79" s="75"/>
      <c r="G79" s="75"/>
      <c r="H79" s="75"/>
    </row>
    <row r="81" customFormat="false" ht="15" hidden="false" customHeight="true" outlineLevel="0" collapsed="false">
      <c r="A81" s="84" t="s">
        <v>437</v>
      </c>
      <c r="B81" s="85"/>
      <c r="C81" s="85"/>
      <c r="D81" s="85"/>
      <c r="E81" s="85"/>
      <c r="F81" s="85"/>
      <c r="G81" s="85"/>
      <c r="H81" s="85"/>
    </row>
    <row r="82" customFormat="false" ht="15" hidden="false" customHeight="true" outlineLevel="0" collapsed="false">
      <c r="A82" s="87" t="s">
        <v>438</v>
      </c>
      <c r="B82" s="87" t="s">
        <v>439</v>
      </c>
      <c r="C82" s="87" t="s">
        <v>440</v>
      </c>
      <c r="D82" s="87" t="s">
        <v>441</v>
      </c>
      <c r="E82" s="87" t="s">
        <v>442</v>
      </c>
      <c r="F82" s="87" t="s">
        <v>443</v>
      </c>
    </row>
    <row r="83" customFormat="false" ht="15" hidden="false" customHeight="true" outlineLevel="0" collapsed="false">
      <c r="A83" s="90" t="s">
        <v>444</v>
      </c>
      <c r="B83" s="92" t="n">
        <v>-0.26</v>
      </c>
      <c r="C83" s="92" t="n">
        <v>-0.25</v>
      </c>
      <c r="D83" s="92" t="n">
        <v>-0.246</v>
      </c>
      <c r="E83" s="92" t="n">
        <v>-0.239</v>
      </c>
      <c r="F83" s="92" t="n">
        <v>-0.229</v>
      </c>
    </row>
    <row r="84" customFormat="false" ht="30" hidden="false" customHeight="true" outlineLevel="0" collapsed="false">
      <c r="A84" s="75" t="s">
        <v>445</v>
      </c>
      <c r="B84" s="75"/>
      <c r="C84" s="75"/>
      <c r="D84" s="75"/>
      <c r="E84" s="75"/>
      <c r="F84" s="75"/>
      <c r="G84" s="75"/>
      <c r="H84" s="75"/>
    </row>
  </sheetData>
  <mergeCells count="10">
    <mergeCell ref="A2:H2"/>
    <mergeCell ref="A14:H14"/>
    <mergeCell ref="A20:H20"/>
    <mergeCell ref="A28:H28"/>
    <mergeCell ref="A38:H38"/>
    <mergeCell ref="A46:H46"/>
    <mergeCell ref="A49:H49"/>
    <mergeCell ref="A56:H56"/>
    <mergeCell ref="A79:H79"/>
    <mergeCell ref="A84:H8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"/>
    <col collapsed="false" customWidth="true" hidden="false" outlineLevel="0" max="3" min="2" style="1" width="10"/>
    <col collapsed="false" customWidth="true" hidden="false" outlineLevel="0" max="4" min="4" style="1" width="34"/>
    <col collapsed="false" customWidth="true" hidden="false" outlineLevel="0" max="10" min="5" style="1" width="10"/>
  </cols>
  <sheetData>
    <row r="1" customFormat="false" ht="17.25" hidden="false" customHeight="true" outlineLevel="0" collapsed="false">
      <c r="A1" s="2" t="s">
        <v>26</v>
      </c>
    </row>
    <row r="3" customFormat="false" ht="15" hidden="false" customHeight="true" outlineLevel="0" collapsed="false">
      <c r="A3" s="4" t="s">
        <v>27</v>
      </c>
    </row>
    <row r="4" customFormat="false" ht="15" hidden="false" customHeight="true" outlineLevel="0" collapsed="false">
      <c r="A4" s="7" t="s">
        <v>28</v>
      </c>
      <c r="B4" s="7" t="s">
        <v>29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7" t="s">
        <v>35</v>
      </c>
      <c r="I4" s="7" t="s">
        <v>36</v>
      </c>
      <c r="J4" s="7"/>
    </row>
    <row r="5" customFormat="false" ht="15" hidden="false" customHeight="true" outlineLevel="0" collapsed="false">
      <c r="A5" s="8" t="s">
        <v>37</v>
      </c>
      <c r="B5" s="9" t="n">
        <v>0.3</v>
      </c>
      <c r="C5" s="10" t="n">
        <v>0.004</v>
      </c>
      <c r="D5" s="10" t="n">
        <v>0.003</v>
      </c>
      <c r="E5" s="10" t="n">
        <v>0.002</v>
      </c>
      <c r="F5" s="10" t="n">
        <v>0.001</v>
      </c>
      <c r="G5" s="10" t="n">
        <v>0.001</v>
      </c>
      <c r="H5" s="10" t="n">
        <v>0</v>
      </c>
      <c r="I5" s="10" t="n">
        <v>0</v>
      </c>
    </row>
    <row r="6" customFormat="false" ht="15" hidden="false" customHeight="true" outlineLevel="0" collapsed="false">
      <c r="A6" s="8" t="s">
        <v>38</v>
      </c>
      <c r="B6" s="9" t="n">
        <v>0.45</v>
      </c>
      <c r="C6" s="10" t="n">
        <v>0.005</v>
      </c>
      <c r="D6" s="10" t="n">
        <v>0.005</v>
      </c>
      <c r="E6" s="10" t="n">
        <v>0.004</v>
      </c>
      <c r="F6" s="10" t="n">
        <v>0.004</v>
      </c>
      <c r="G6" s="10" t="n">
        <v>0.004</v>
      </c>
      <c r="H6" s="10" t="n">
        <v>0.003</v>
      </c>
      <c r="I6" s="10" t="n">
        <v>0.003</v>
      </c>
    </row>
    <row r="7" customFormat="false" ht="15" hidden="false" customHeight="true" outlineLevel="0" collapsed="false">
      <c r="A7" s="8" t="s">
        <v>39</v>
      </c>
      <c r="B7" s="9" t="n">
        <v>0.25</v>
      </c>
      <c r="C7" s="10" t="n">
        <v>0.008</v>
      </c>
      <c r="D7" s="10" t="n">
        <v>0.009</v>
      </c>
      <c r="E7" s="10" t="n">
        <v>0.008</v>
      </c>
      <c r="F7" s="10" t="n">
        <v>0.007</v>
      </c>
      <c r="G7" s="10" t="n">
        <v>0.007</v>
      </c>
      <c r="H7" s="10" t="n">
        <v>0.006</v>
      </c>
      <c r="I7" s="10" t="n">
        <v>0.006</v>
      </c>
    </row>
    <row r="8" customFormat="false" ht="15" hidden="false" customHeight="true" outlineLevel="0" collapsed="false">
      <c r="A8" s="3" t="s">
        <v>40</v>
      </c>
      <c r="B8" s="11" t="n">
        <f aca="false">SUM(B5:B7)</f>
        <v>1</v>
      </c>
    </row>
    <row r="10" customFormat="false" ht="15" hidden="false" customHeight="true" outlineLevel="0" collapsed="false">
      <c r="A10" s="4" t="s">
        <v>41</v>
      </c>
    </row>
    <row r="11" customFormat="false" ht="15" hidden="false" customHeight="true" outlineLevel="0" collapsed="false">
      <c r="A11" s="7" t="s">
        <v>28</v>
      </c>
      <c r="B11" s="7" t="s">
        <v>42</v>
      </c>
      <c r="C11" s="7" t="s">
        <v>30</v>
      </c>
      <c r="D11" s="7" t="s">
        <v>31</v>
      </c>
      <c r="E11" s="7" t="s">
        <v>32</v>
      </c>
      <c r="F11" s="7" t="s">
        <v>33</v>
      </c>
      <c r="G11" s="7" t="s">
        <v>34</v>
      </c>
      <c r="H11" s="7" t="s">
        <v>35</v>
      </c>
      <c r="I11" s="7" t="s">
        <v>36</v>
      </c>
      <c r="J11" s="7" t="s">
        <v>43</v>
      </c>
    </row>
    <row r="12" customFormat="false" ht="15" hidden="false" customHeight="true" outlineLevel="0" collapsed="false">
      <c r="A12" s="8" t="str">
        <f aca="false">A5</f>
        <v>Ceasefire + clearing</v>
      </c>
      <c r="B12" s="8" t="n">
        <v>100</v>
      </c>
      <c r="C12" s="12" t="n">
        <f aca="false">B12*(1+C5)</f>
        <v>100.4</v>
      </c>
      <c r="D12" s="12" t="n">
        <f aca="false">C12*(1+D5)</f>
        <v>100.7012</v>
      </c>
      <c r="E12" s="12" t="n">
        <f aca="false">D12*(1+E5)</f>
        <v>100.9026024</v>
      </c>
      <c r="F12" s="12" t="n">
        <f aca="false">E12*(1+F5)</f>
        <v>101.0035050024</v>
      </c>
      <c r="G12" s="12" t="n">
        <f aca="false">F12*(1+G5)</f>
        <v>101.104508507402</v>
      </c>
      <c r="H12" s="12" t="n">
        <f aca="false">G12*(1+H5)</f>
        <v>101.104508507402</v>
      </c>
      <c r="I12" s="12" t="n">
        <f aca="false">H12*(1+I5)</f>
        <v>101.104508507402</v>
      </c>
      <c r="J12" s="11" t="n">
        <f aca="false">I12/100-1</f>
        <v>0.0110450850740238</v>
      </c>
    </row>
    <row r="13" customFormat="false" ht="15" hidden="false" customHeight="true" outlineLevel="0" collapsed="false">
      <c r="A13" s="8" t="str">
        <f aca="false">A6</f>
        <v>Status quo / closed</v>
      </c>
      <c r="B13" s="8" t="n">
        <v>100</v>
      </c>
      <c r="C13" s="12" t="n">
        <f aca="false">B13*(1+C6)</f>
        <v>100.5</v>
      </c>
      <c r="D13" s="12" t="n">
        <f aca="false">C13*(1+D6)</f>
        <v>101.0025</v>
      </c>
      <c r="E13" s="12" t="n">
        <f aca="false">D13*(1+E6)</f>
        <v>101.40651</v>
      </c>
      <c r="F13" s="12" t="n">
        <f aca="false">E13*(1+F6)</f>
        <v>101.81213604</v>
      </c>
      <c r="G13" s="12" t="n">
        <f aca="false">F13*(1+G6)</f>
        <v>102.21938458416</v>
      </c>
      <c r="H13" s="12" t="n">
        <f aca="false">G13*(1+H6)</f>
        <v>102.526042737912</v>
      </c>
      <c r="I13" s="12" t="n">
        <f aca="false">H13*(1+I6)</f>
        <v>102.833620866126</v>
      </c>
      <c r="J13" s="11" t="n">
        <f aca="false">I13/100-1</f>
        <v>0.0283362086612615</v>
      </c>
    </row>
    <row r="14" customFormat="false" ht="15" hidden="false" customHeight="true" outlineLevel="0" collapsed="false">
      <c r="A14" s="8" t="str">
        <f aca="false">A7</f>
        <v>Escalation</v>
      </c>
      <c r="B14" s="8" t="n">
        <v>100</v>
      </c>
      <c r="C14" s="12" t="n">
        <f aca="false">B14*(1+C7)</f>
        <v>100.8</v>
      </c>
      <c r="D14" s="12" t="n">
        <f aca="false">C14*(1+D7)</f>
        <v>101.7072</v>
      </c>
      <c r="E14" s="12" t="n">
        <f aca="false">D14*(1+E7)</f>
        <v>102.5208576</v>
      </c>
      <c r="F14" s="12" t="n">
        <f aca="false">E14*(1+F7)</f>
        <v>103.2385036032</v>
      </c>
      <c r="G14" s="12" t="n">
        <f aca="false">F14*(1+G7)</f>
        <v>103.961173128422</v>
      </c>
      <c r="H14" s="12" t="n">
        <f aca="false">G14*(1+H7)</f>
        <v>104.584940167193</v>
      </c>
      <c r="I14" s="12" t="n">
        <f aca="false">H14*(1+I7)</f>
        <v>105.212449808196</v>
      </c>
      <c r="J14" s="11" t="n">
        <f aca="false">I14/100-1</f>
        <v>0.0521244980819606</v>
      </c>
    </row>
    <row r="16" customFormat="false" ht="15" hidden="false" customHeight="true" outlineLevel="0" collapsed="false">
      <c r="A16" s="13" t="s">
        <v>44</v>
      </c>
      <c r="B16" s="14" t="n">
        <f aca="false">SUMPRODUCT(B5:B7,J12:J14)</f>
        <v>0.029095943940265</v>
      </c>
    </row>
    <row r="19" customFormat="false" ht="15" hidden="false" customHeight="true" outlineLevel="0" collapsed="false">
      <c r="A19" s="4" t="s">
        <v>45</v>
      </c>
    </row>
    <row r="20" customFormat="false" ht="15" hidden="false" customHeight="true" outlineLevel="0" collapsed="false">
      <c r="A20" s="5" t="s">
        <v>46</v>
      </c>
      <c r="B20" s="9" t="n">
        <v>0.0111</v>
      </c>
    </row>
    <row r="21" customFormat="false" ht="15" hidden="false" customHeight="true" outlineLevel="0" collapsed="false">
      <c r="A21" s="5" t="s">
        <v>47</v>
      </c>
      <c r="B21" s="9" t="n">
        <v>0.03</v>
      </c>
    </row>
    <row r="24" customFormat="false" ht="15" hidden="false" customHeight="true" outlineLevel="0" collapsed="false">
      <c r="A24" s="4" t="s">
        <v>48</v>
      </c>
    </row>
    <row r="25" customFormat="false" ht="15" hidden="false" customHeight="true" outlineLevel="0" collapsed="false">
      <c r="A25" s="5" t="s">
        <v>49</v>
      </c>
      <c r="B25" s="15" t="n">
        <v>83730</v>
      </c>
      <c r="D25" s="3" t="s">
        <v>50</v>
      </c>
    </row>
    <row r="26" customFormat="false" ht="15" hidden="false" customHeight="true" outlineLevel="0" collapsed="false">
      <c r="A26" s="5" t="s">
        <v>51</v>
      </c>
      <c r="B26" s="15" t="n">
        <v>121000</v>
      </c>
      <c r="D26" s="3" t="s">
        <v>50</v>
      </c>
    </row>
    <row r="27" customFormat="false" ht="15" hidden="false" customHeight="true" outlineLevel="0" collapsed="false">
      <c r="A27" s="5" t="s">
        <v>52</v>
      </c>
      <c r="B27" s="15" t="n">
        <v>50400</v>
      </c>
      <c r="D27" s="3" t="s">
        <v>53</v>
      </c>
    </row>
    <row r="28" customFormat="false" ht="15" hidden="false" customHeight="true" outlineLevel="0" collapsed="false">
      <c r="A28" s="5" t="s">
        <v>54</v>
      </c>
      <c r="B28" s="15" t="n">
        <v>39633</v>
      </c>
      <c r="D28" s="3" t="s">
        <v>55</v>
      </c>
    </row>
    <row r="29" customFormat="false" ht="15" hidden="false" customHeight="true" outlineLevel="0" collapsed="false">
      <c r="A29" s="5" t="s">
        <v>56</v>
      </c>
      <c r="B29" s="15" t="n">
        <v>6500</v>
      </c>
      <c r="D29" s="3" t="s">
        <v>57</v>
      </c>
    </row>
    <row r="30" customFormat="false" ht="15" hidden="false" customHeight="true" outlineLevel="0" collapsed="false">
      <c r="A30" s="5" t="s">
        <v>58</v>
      </c>
      <c r="B30" s="16" t="n">
        <v>132000000</v>
      </c>
      <c r="D30" s="3" t="s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19" min="2" style="1" width="11"/>
  </cols>
  <sheetData>
    <row r="1" customFormat="false" ht="17.25" hidden="false" customHeight="true" outlineLevel="0" collapsed="false">
      <c r="A1" s="2" t="s">
        <v>60</v>
      </c>
    </row>
    <row r="2" customFormat="false" ht="15" hidden="false" customHeight="true" outlineLevel="0" collapsed="false">
      <c r="A2" s="3" t="s">
        <v>61</v>
      </c>
    </row>
    <row r="4" customFormat="false" ht="32.25" hidden="false" customHeight="true" outlineLevel="0" collapsed="false">
      <c r="A4" s="17" t="s">
        <v>62</v>
      </c>
      <c r="B4" s="17" t="s">
        <v>63</v>
      </c>
      <c r="C4" s="17" t="s">
        <v>64</v>
      </c>
      <c r="D4" s="17" t="s">
        <v>65</v>
      </c>
      <c r="E4" s="17" t="s">
        <v>66</v>
      </c>
      <c r="F4" s="17" t="s">
        <v>67</v>
      </c>
      <c r="G4" s="17" t="s">
        <v>68</v>
      </c>
      <c r="H4" s="17" t="s">
        <v>69</v>
      </c>
      <c r="I4" s="17" t="s">
        <v>70</v>
      </c>
      <c r="J4" s="17" t="s">
        <v>71</v>
      </c>
      <c r="K4" s="17" t="s">
        <v>72</v>
      </c>
      <c r="L4" s="17" t="s">
        <v>73</v>
      </c>
      <c r="M4" s="17" t="s">
        <v>74</v>
      </c>
      <c r="N4" s="17" t="s">
        <v>75</v>
      </c>
      <c r="O4" s="17" t="s">
        <v>76</v>
      </c>
      <c r="P4" s="17" t="s">
        <v>77</v>
      </c>
      <c r="Q4" s="17" t="s">
        <v>78</v>
      </c>
      <c r="R4" s="17" t="s">
        <v>79</v>
      </c>
      <c r="S4" s="17" t="s">
        <v>80</v>
      </c>
    </row>
    <row r="5" customFormat="false" ht="15" hidden="false" customHeight="true" outlineLevel="0" collapsed="false">
      <c r="A5" s="8" t="s">
        <v>81</v>
      </c>
      <c r="B5" s="18" t="n">
        <v>18.5</v>
      </c>
      <c r="C5" s="15" t="n">
        <v>2750</v>
      </c>
      <c r="D5" s="10" t="n">
        <v>0.42</v>
      </c>
      <c r="E5" s="19" t="n">
        <f aca="false">C5*D5</f>
        <v>1155</v>
      </c>
      <c r="F5" s="10" t="n">
        <v>0.12</v>
      </c>
      <c r="G5" s="15" t="n">
        <v>22000</v>
      </c>
      <c r="H5" s="20" t="n">
        <f aca="false">G5*Assumptions!$B$20</f>
        <v>244.2</v>
      </c>
      <c r="I5" s="10" t="n">
        <v>0.42</v>
      </c>
      <c r="J5" s="15" t="n">
        <v>2700</v>
      </c>
      <c r="K5" s="20" t="n">
        <f aca="false">J5*Assumptions!$B$21</f>
        <v>81</v>
      </c>
      <c r="L5" s="21" t="n">
        <v>1.32</v>
      </c>
      <c r="M5" s="22" t="n">
        <f aca="false">Assumptions!$B$16*L5</f>
        <v>0.0384066460011498</v>
      </c>
      <c r="N5" s="19" t="n">
        <f aca="false">C5*M5</f>
        <v>105.618276503162</v>
      </c>
      <c r="O5" s="23" t="n">
        <f aca="false">B5*N5/1000</f>
        <v>1.9539381153085</v>
      </c>
      <c r="P5" s="19" t="n">
        <f aca="false">H5*F5</f>
        <v>29.304</v>
      </c>
      <c r="Q5" s="19" t="n">
        <f aca="false">K5*I5</f>
        <v>34.02</v>
      </c>
      <c r="R5" s="19" t="n">
        <f aca="false">E5+P5+Q5</f>
        <v>1218.324</v>
      </c>
      <c r="S5" s="24" t="n">
        <f aca="false">N5/R5</f>
        <v>0.0866914519480548</v>
      </c>
    </row>
    <row r="6" customFormat="false" ht="15" hidden="false" customHeight="true" outlineLevel="0" collapsed="false">
      <c r="A6" s="8" t="s">
        <v>82</v>
      </c>
      <c r="B6" s="18" t="n">
        <v>21.9</v>
      </c>
      <c r="C6" s="15" t="n">
        <v>3500</v>
      </c>
      <c r="D6" s="10" t="n">
        <v>0.39</v>
      </c>
      <c r="E6" s="19" t="n">
        <f aca="false">C6*D6</f>
        <v>1365</v>
      </c>
      <c r="F6" s="10" t="n">
        <v>0.18</v>
      </c>
      <c r="G6" s="15" t="n">
        <v>28000</v>
      </c>
      <c r="H6" s="20" t="n">
        <f aca="false">G6*Assumptions!$B$20</f>
        <v>310.8</v>
      </c>
      <c r="I6" s="10" t="n">
        <v>0.48</v>
      </c>
      <c r="J6" s="15" t="n">
        <v>4200</v>
      </c>
      <c r="K6" s="20" t="n">
        <f aca="false">J6*Assumptions!$B$21</f>
        <v>126</v>
      </c>
      <c r="L6" s="21" t="n">
        <v>1.24</v>
      </c>
      <c r="M6" s="22" t="n">
        <f aca="false">Assumptions!$B$16*L6</f>
        <v>0.0360789704859286</v>
      </c>
      <c r="N6" s="19" t="n">
        <f aca="false">C6*M6</f>
        <v>126.27639670075</v>
      </c>
      <c r="O6" s="23" t="n">
        <f aca="false">B6*N6/1000</f>
        <v>2.76545308774642</v>
      </c>
      <c r="P6" s="19" t="n">
        <f aca="false">H6*F6</f>
        <v>55.944</v>
      </c>
      <c r="Q6" s="19" t="n">
        <f aca="false">K6*I6</f>
        <v>60.48</v>
      </c>
      <c r="R6" s="19" t="n">
        <f aca="false">E6+P6+Q6</f>
        <v>1481.424</v>
      </c>
      <c r="S6" s="24" t="n">
        <f aca="false">N6/R6</f>
        <v>0.0852398750801594</v>
      </c>
    </row>
    <row r="7" customFormat="false" ht="15" hidden="false" customHeight="true" outlineLevel="0" collapsed="false">
      <c r="A7" s="8" t="s">
        <v>83</v>
      </c>
      <c r="B7" s="18" t="n">
        <v>19</v>
      </c>
      <c r="C7" s="15" t="n">
        <v>4580</v>
      </c>
      <c r="D7" s="10" t="n">
        <v>0.36</v>
      </c>
      <c r="E7" s="19" t="n">
        <f aca="false">C7*D7</f>
        <v>1648.8</v>
      </c>
      <c r="F7" s="10" t="n">
        <v>0.24</v>
      </c>
      <c r="G7" s="15" t="n">
        <v>34000</v>
      </c>
      <c r="H7" s="20" t="n">
        <f aca="false">G7*Assumptions!$B$20</f>
        <v>377.4</v>
      </c>
      <c r="I7" s="10" t="n">
        <v>0.5</v>
      </c>
      <c r="J7" s="15" t="n">
        <v>5500</v>
      </c>
      <c r="K7" s="20" t="n">
        <f aca="false">J7*Assumptions!$B$21</f>
        <v>165</v>
      </c>
      <c r="L7" s="21" t="n">
        <v>1.14</v>
      </c>
      <c r="M7" s="22" t="n">
        <f aca="false">Assumptions!$B$16*L7</f>
        <v>0.0331693760919021</v>
      </c>
      <c r="N7" s="19" t="n">
        <f aca="false">C7*M7</f>
        <v>151.915742500912</v>
      </c>
      <c r="O7" s="23" t="n">
        <f aca="false">B7*N7/1000</f>
        <v>2.88639910751732</v>
      </c>
      <c r="P7" s="19" t="n">
        <f aca="false">H7*F7</f>
        <v>90.576</v>
      </c>
      <c r="Q7" s="19" t="n">
        <f aca="false">K7*I7</f>
        <v>82.5</v>
      </c>
      <c r="R7" s="19" t="n">
        <f aca="false">E7+P7+Q7</f>
        <v>1821.876</v>
      </c>
      <c r="S7" s="24" t="n">
        <f aca="false">N7/R7</f>
        <v>0.0833842382801637</v>
      </c>
    </row>
    <row r="8" customFormat="false" ht="15" hidden="false" customHeight="true" outlineLevel="0" collapsed="false">
      <c r="A8" s="8" t="s">
        <v>84</v>
      </c>
      <c r="B8" s="18" t="n">
        <v>18.2</v>
      </c>
      <c r="C8" s="15" t="n">
        <v>5830</v>
      </c>
      <c r="D8" s="10" t="n">
        <v>0.34</v>
      </c>
      <c r="E8" s="19" t="n">
        <f aca="false">C8*D8</f>
        <v>1982.2</v>
      </c>
      <c r="F8" s="10" t="n">
        <v>0.28</v>
      </c>
      <c r="G8" s="15" t="n">
        <v>38000</v>
      </c>
      <c r="H8" s="20" t="n">
        <f aca="false">G8*Assumptions!$B$20</f>
        <v>421.8</v>
      </c>
      <c r="I8" s="10" t="n">
        <v>0.5</v>
      </c>
      <c r="J8" s="15" t="n">
        <v>6500</v>
      </c>
      <c r="K8" s="20" t="n">
        <f aca="false">J8*Assumptions!$B$21</f>
        <v>195</v>
      </c>
      <c r="L8" s="21" t="n">
        <v>1.06</v>
      </c>
      <c r="M8" s="22" t="n">
        <f aca="false">Assumptions!$B$16*L8</f>
        <v>0.0308417005766809</v>
      </c>
      <c r="N8" s="19" t="n">
        <f aca="false">C8*M8</f>
        <v>179.80711436205</v>
      </c>
      <c r="O8" s="23" t="n">
        <f aca="false">B8*N8/1000</f>
        <v>3.2724894813893</v>
      </c>
      <c r="P8" s="19" t="n">
        <f aca="false">H8*F8</f>
        <v>118.104</v>
      </c>
      <c r="Q8" s="19" t="n">
        <f aca="false">K8*I8</f>
        <v>97.5</v>
      </c>
      <c r="R8" s="19" t="n">
        <f aca="false">E8+P8+Q8</f>
        <v>2197.804</v>
      </c>
      <c r="S8" s="24" t="n">
        <f aca="false">N8/R8</f>
        <v>0.0818121699487532</v>
      </c>
    </row>
    <row r="9" customFormat="false" ht="15" hidden="false" customHeight="true" outlineLevel="0" collapsed="false">
      <c r="A9" s="8" t="s">
        <v>85</v>
      </c>
      <c r="B9" s="18" t="n">
        <v>21.1</v>
      </c>
      <c r="C9" s="15" t="n">
        <v>7500</v>
      </c>
      <c r="D9" s="10" t="n">
        <v>0.32</v>
      </c>
      <c r="E9" s="19" t="n">
        <f aca="false">C9*D9</f>
        <v>2400</v>
      </c>
      <c r="F9" s="10" t="n">
        <v>0.3</v>
      </c>
      <c r="G9" s="15" t="n">
        <v>44000</v>
      </c>
      <c r="H9" s="20" t="n">
        <f aca="false">G9*Assumptions!$B$20</f>
        <v>488.4</v>
      </c>
      <c r="I9" s="10" t="n">
        <v>0.47</v>
      </c>
      <c r="J9" s="15" t="n">
        <v>7800</v>
      </c>
      <c r="K9" s="20" t="n">
        <f aca="false">J9*Assumptions!$B$21</f>
        <v>234</v>
      </c>
      <c r="L9" s="21" t="n">
        <v>1</v>
      </c>
      <c r="M9" s="22" t="n">
        <f aca="false">Assumptions!$B$16*L9</f>
        <v>0.029095943940265</v>
      </c>
      <c r="N9" s="19" t="n">
        <f aca="false">C9*M9</f>
        <v>218.219579551987</v>
      </c>
      <c r="O9" s="23" t="n">
        <f aca="false">B9*N9/1000</f>
        <v>4.60443312854693</v>
      </c>
      <c r="P9" s="19" t="n">
        <f aca="false">H9*F9</f>
        <v>146.52</v>
      </c>
      <c r="Q9" s="19" t="n">
        <f aca="false">K9*I9</f>
        <v>109.98</v>
      </c>
      <c r="R9" s="19" t="n">
        <f aca="false">E9+P9+Q9</f>
        <v>2656.5</v>
      </c>
      <c r="S9" s="24" t="n">
        <f aca="false">N9/R9</f>
        <v>0.0821455221351355</v>
      </c>
    </row>
    <row r="10" customFormat="false" ht="15" hidden="false" customHeight="true" outlineLevel="0" collapsed="false">
      <c r="A10" s="8" t="s">
        <v>86</v>
      </c>
      <c r="B10" s="18" t="n">
        <v>12.1</v>
      </c>
      <c r="C10" s="15" t="n">
        <v>9580</v>
      </c>
      <c r="D10" s="10" t="n">
        <v>0.3</v>
      </c>
      <c r="E10" s="19" t="n">
        <f aca="false">C10*D10</f>
        <v>2874</v>
      </c>
      <c r="F10" s="10" t="n">
        <v>0.26</v>
      </c>
      <c r="G10" s="15" t="n">
        <v>52000</v>
      </c>
      <c r="H10" s="20" t="n">
        <f aca="false">G10*Assumptions!$B$20</f>
        <v>577.2</v>
      </c>
      <c r="I10" s="10" t="n">
        <v>0.43</v>
      </c>
      <c r="J10" s="15" t="n">
        <v>9200</v>
      </c>
      <c r="K10" s="20" t="n">
        <f aca="false">J10*Assumptions!$B$21</f>
        <v>276</v>
      </c>
      <c r="L10" s="21" t="n">
        <v>0.9</v>
      </c>
      <c r="M10" s="22" t="n">
        <f aca="false">Assumptions!$B$16*L10</f>
        <v>0.0261863495462385</v>
      </c>
      <c r="N10" s="19" t="n">
        <f aca="false">C10*M10</f>
        <v>250.865228652965</v>
      </c>
      <c r="O10" s="23" t="n">
        <f aca="false">B10*N10/1000</f>
        <v>3.03546926670087</v>
      </c>
      <c r="P10" s="19" t="n">
        <f aca="false">H10*F10</f>
        <v>150.072</v>
      </c>
      <c r="Q10" s="19" t="n">
        <f aca="false">K10*I10</f>
        <v>118.68</v>
      </c>
      <c r="R10" s="19" t="n">
        <f aca="false">E10+P10+Q10</f>
        <v>3142.752</v>
      </c>
      <c r="S10" s="24" t="n">
        <f aca="false">N10/R10</f>
        <v>0.0798234250277988</v>
      </c>
    </row>
    <row r="11" customFormat="false" ht="15" hidden="false" customHeight="true" outlineLevel="0" collapsed="false">
      <c r="A11" s="8" t="s">
        <v>87</v>
      </c>
      <c r="B11" s="18" t="n">
        <v>21.1</v>
      </c>
      <c r="C11" s="15" t="n">
        <v>12500</v>
      </c>
      <c r="D11" s="10" t="n">
        <v>0.29</v>
      </c>
      <c r="E11" s="19" t="n">
        <f aca="false">C11*D11</f>
        <v>3625</v>
      </c>
      <c r="F11" s="10" t="n">
        <v>0.18</v>
      </c>
      <c r="G11" s="15" t="n">
        <v>60000</v>
      </c>
      <c r="H11" s="20" t="n">
        <f aca="false">G11*Assumptions!$B$20</f>
        <v>666</v>
      </c>
      <c r="I11" s="10" t="n">
        <v>0.38</v>
      </c>
      <c r="J11" s="15" t="n">
        <v>11000</v>
      </c>
      <c r="K11" s="20" t="n">
        <f aca="false">J11*Assumptions!$B$21</f>
        <v>330</v>
      </c>
      <c r="L11" s="21" t="n">
        <v>0.8</v>
      </c>
      <c r="M11" s="22" t="n">
        <f aca="false">Assumptions!$B$16*L11</f>
        <v>0.023276755152212</v>
      </c>
      <c r="N11" s="19" t="n">
        <f aca="false">C11*M11</f>
        <v>290.95943940265</v>
      </c>
      <c r="O11" s="23" t="n">
        <f aca="false">B11*N11/1000</f>
        <v>6.13924417139591</v>
      </c>
      <c r="P11" s="19" t="n">
        <f aca="false">H11*F11</f>
        <v>119.88</v>
      </c>
      <c r="Q11" s="19" t="n">
        <f aca="false">K11*I11</f>
        <v>125.4</v>
      </c>
      <c r="R11" s="19" t="n">
        <f aca="false">E11+P11+Q11</f>
        <v>3870.28</v>
      </c>
      <c r="S11" s="24" t="n">
        <f aca="false">N11/R11</f>
        <v>0.0751778784487556</v>
      </c>
    </row>
    <row r="12" customFormat="false" ht="15" hidden="false" customHeight="true" outlineLevel="0" collapsed="false">
      <c r="A12" s="25" t="s">
        <v>88</v>
      </c>
      <c r="B12" s="26" t="n">
        <f aca="false">SUM(B5:B11)</f>
        <v>131.9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 t="n">
        <f aca="false">SUMPRODUCT(B5:B11,N5:N11)/SUMPRODUCT(B5:B11,C5:C11)</f>
        <v>0.0287192134337546</v>
      </c>
      <c r="N12" s="27"/>
      <c r="O12" s="29" t="n">
        <f aca="false">SUM(O5:O11)</f>
        <v>24.6574263586053</v>
      </c>
      <c r="P12" s="27"/>
      <c r="Q12" s="27"/>
      <c r="R12" s="27"/>
      <c r="S12" s="27"/>
    </row>
    <row r="14" customFormat="false" ht="15" hidden="false" customHeight="true" outlineLevel="0" collapsed="false">
      <c r="A14" s="13" t="s">
        <v>89</v>
      </c>
      <c r="C14" s="30" t="n">
        <f aca="false">O12*12</f>
        <v>295.889116303263</v>
      </c>
    </row>
    <row r="15" customFormat="false" ht="15" hidden="false" customHeight="true" outlineLevel="0" collapsed="false">
      <c r="A15" s="3" t="s">
        <v>90</v>
      </c>
    </row>
    <row r="16" customFormat="false" ht="15" hidden="false" customHeight="true" outlineLevel="0" collapsed="false">
      <c r="A16" s="3" t="s">
        <v>91</v>
      </c>
    </row>
    <row r="17" customFormat="false" ht="15" hidden="false" customHeight="true" outlineLevel="0" collapsed="false">
      <c r="A17" s="3" t="s">
        <v>92</v>
      </c>
    </row>
    <row r="18" customFormat="false" ht="15" hidden="false" customHeight="true" outlineLevel="0" collapsed="false">
      <c r="A18" s="3" t="s">
        <v>93</v>
      </c>
    </row>
    <row r="19" customFormat="false" ht="15" hidden="false" customHeight="true" outlineLevel="0" collapsed="false">
      <c r="A19" s="3" t="s"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20"/>
    <col collapsed="false" customWidth="true" hidden="false" outlineLevel="0" max="3" min="3" style="1" width="34"/>
    <col collapsed="false" customWidth="true" hidden="false" outlineLevel="0" max="4" min="4" style="1" width="22"/>
    <col collapsed="false" customWidth="true" hidden="false" outlineLevel="0" max="5" min="5" style="1" width="13"/>
    <col collapsed="false" customWidth="true" hidden="false" outlineLevel="0" max="6" min="6" style="1" width="16"/>
    <col collapsed="false" customWidth="true" hidden="false" outlineLevel="0" max="7" min="7" style="1" width="34"/>
  </cols>
  <sheetData>
    <row r="1" customFormat="false" ht="17.25" hidden="false" customHeight="true" outlineLevel="0" collapsed="false">
      <c r="A1" s="2" t="s">
        <v>95</v>
      </c>
    </row>
    <row r="2" customFormat="false" ht="15" hidden="false" customHeight="true" outlineLevel="0" collapsed="false">
      <c r="A2" s="3" t="s">
        <v>96</v>
      </c>
    </row>
    <row r="4" customFormat="false" ht="15" hidden="false" customHeight="true" outlineLevel="0" collapsed="false">
      <c r="A4" s="31" t="s">
        <v>97</v>
      </c>
      <c r="B4" s="31" t="s">
        <v>98</v>
      </c>
      <c r="C4" s="31" t="s">
        <v>99</v>
      </c>
      <c r="D4" s="31" t="s">
        <v>100</v>
      </c>
    </row>
    <row r="5" customFormat="false" ht="23.25" hidden="false" customHeight="true" outlineLevel="0" collapsed="false">
      <c r="A5" s="32" t="s">
        <v>101</v>
      </c>
      <c r="B5" s="33" t="s">
        <v>102</v>
      </c>
      <c r="C5" s="33" t="s">
        <v>103</v>
      </c>
      <c r="D5" s="33" t="s">
        <v>104</v>
      </c>
    </row>
    <row r="6" customFormat="false" ht="23.25" hidden="false" customHeight="true" outlineLevel="0" collapsed="false">
      <c r="A6" s="32" t="s">
        <v>105</v>
      </c>
      <c r="B6" s="33" t="s">
        <v>106</v>
      </c>
      <c r="C6" s="33" t="s">
        <v>107</v>
      </c>
      <c r="D6" s="33" t="s">
        <v>108</v>
      </c>
    </row>
    <row r="7" customFormat="false" ht="23.25" hidden="false" customHeight="true" outlineLevel="0" collapsed="false">
      <c r="A7" s="32" t="s">
        <v>109</v>
      </c>
      <c r="B7" s="33" t="s">
        <v>110</v>
      </c>
      <c r="C7" s="33" t="s">
        <v>111</v>
      </c>
      <c r="D7" s="33" t="s">
        <v>112</v>
      </c>
    </row>
    <row r="8" customFormat="false" ht="23.25" hidden="false" customHeight="true" outlineLevel="0" collapsed="false">
      <c r="A8" s="32" t="s">
        <v>113</v>
      </c>
      <c r="B8" s="33" t="s">
        <v>114</v>
      </c>
      <c r="C8" s="33" t="s">
        <v>115</v>
      </c>
      <c r="D8" s="33" t="s">
        <v>116</v>
      </c>
    </row>
    <row r="9" customFormat="false" ht="23.25" hidden="false" customHeight="true" outlineLevel="0" collapsed="false">
      <c r="A9" s="32" t="s">
        <v>117</v>
      </c>
      <c r="B9" s="33" t="s">
        <v>118</v>
      </c>
      <c r="C9" s="33" t="s">
        <v>119</v>
      </c>
      <c r="D9" s="33" t="s">
        <v>120</v>
      </c>
    </row>
    <row r="10" customFormat="false" ht="34.5" hidden="false" customHeight="true" outlineLevel="0" collapsed="false">
      <c r="A10" s="32" t="s">
        <v>121</v>
      </c>
      <c r="B10" s="33" t="s">
        <v>122</v>
      </c>
      <c r="C10" s="33" t="s">
        <v>123</v>
      </c>
      <c r="D10" s="33" t="s">
        <v>124</v>
      </c>
    </row>
    <row r="12" customFormat="false" ht="15" hidden="false" customHeight="true" outlineLevel="0" collapsed="false">
      <c r="A12" s="5" t="s">
        <v>125</v>
      </c>
    </row>
    <row r="13" customFormat="false" ht="15" hidden="false" customHeight="true" outlineLevel="0" collapsed="false">
      <c r="A13" s="5" t="s">
        <v>126</v>
      </c>
    </row>
    <row r="15" customFormat="false" ht="15" hidden="false" customHeight="true" outlineLevel="0" collapsed="false">
      <c r="A15" s="4" t="s">
        <v>127</v>
      </c>
    </row>
    <row r="16" customFormat="false" ht="21.75" hidden="false" customHeight="true" outlineLevel="0" collapsed="false">
      <c r="A16" s="34" t="s">
        <v>62</v>
      </c>
      <c r="B16" s="34" t="s">
        <v>128</v>
      </c>
      <c r="C16" s="34" t="s">
        <v>129</v>
      </c>
      <c r="D16" s="34" t="s">
        <v>130</v>
      </c>
      <c r="E16" s="34" t="s">
        <v>131</v>
      </c>
      <c r="F16" s="34" t="s">
        <v>132</v>
      </c>
      <c r="G16" s="34" t="s">
        <v>133</v>
      </c>
    </row>
    <row r="17" customFormat="false" ht="15" hidden="false" customHeight="true" outlineLevel="0" collapsed="false">
      <c r="A17" s="35" t="str">
        <f aca="false">'Model by Bracket'!A5</f>
        <v>&lt;$25k</v>
      </c>
      <c r="B17" s="20" t="n">
        <f aca="false">'Model by Bracket'!N5</f>
        <v>105.618276503162</v>
      </c>
      <c r="C17" s="20" t="n">
        <f aca="false">'Model by Bracket'!E5</f>
        <v>1155</v>
      </c>
      <c r="D17" s="20" t="n">
        <f aca="false">'Model by Bracket'!H5</f>
        <v>244.2</v>
      </c>
      <c r="E17" s="20" t="n">
        <f aca="false">'Model by Bracket'!K5</f>
        <v>81</v>
      </c>
      <c r="F17" s="24" t="n">
        <f aca="false">'Model by Bracket'!N5/('Model by Bracket'!H5+'Model by Bracket'!K5)</f>
        <v>0.324779448041703</v>
      </c>
      <c r="G17" s="8" t="s">
        <v>134</v>
      </c>
    </row>
    <row r="18" customFormat="false" ht="15" hidden="false" customHeight="true" outlineLevel="0" collapsed="false">
      <c r="A18" s="35" t="str">
        <f aca="false">'Model by Bracket'!A6</f>
        <v>$25–50k</v>
      </c>
      <c r="B18" s="20" t="n">
        <f aca="false">'Model by Bracket'!N6</f>
        <v>126.27639670075</v>
      </c>
      <c r="C18" s="20" t="n">
        <f aca="false">'Model by Bracket'!E6</f>
        <v>1365</v>
      </c>
      <c r="D18" s="20" t="n">
        <f aca="false">'Model by Bracket'!H6</f>
        <v>310.8</v>
      </c>
      <c r="E18" s="20" t="n">
        <f aca="false">'Model by Bracket'!K6</f>
        <v>126</v>
      </c>
      <c r="F18" s="24" t="n">
        <f aca="false">'Model by Bracket'!N6/('Model by Bracket'!H6+'Model by Bracket'!K6)</f>
        <v>0.289094314791094</v>
      </c>
      <c r="G18" s="8" t="s">
        <v>134</v>
      </c>
    </row>
    <row r="19" customFormat="false" ht="15" hidden="false" customHeight="true" outlineLevel="0" collapsed="false">
      <c r="A19" s="35" t="str">
        <f aca="false">'Model by Bracket'!A7</f>
        <v>$50–75k</v>
      </c>
      <c r="B19" s="20" t="n">
        <f aca="false">'Model by Bracket'!N7</f>
        <v>151.915742500912</v>
      </c>
      <c r="C19" s="20" t="n">
        <f aca="false">'Model by Bracket'!E7</f>
        <v>1648.8</v>
      </c>
      <c r="D19" s="20" t="n">
        <f aca="false">'Model by Bracket'!H7</f>
        <v>377.4</v>
      </c>
      <c r="E19" s="20" t="n">
        <f aca="false">'Model by Bracket'!K7</f>
        <v>165</v>
      </c>
      <c r="F19" s="24" t="n">
        <f aca="false">'Model by Bracket'!N7/('Model by Bracket'!H7+'Model by Bracket'!K7)</f>
        <v>0.280080646203745</v>
      </c>
      <c r="G19" s="8" t="s">
        <v>135</v>
      </c>
    </row>
    <row r="20" customFormat="false" ht="15" hidden="false" customHeight="true" outlineLevel="0" collapsed="false">
      <c r="A20" s="35" t="str">
        <f aca="false">'Model by Bracket'!A8</f>
        <v>$75–100k</v>
      </c>
      <c r="B20" s="20" t="n">
        <f aca="false">'Model by Bracket'!N8</f>
        <v>179.80711436205</v>
      </c>
      <c r="C20" s="20" t="n">
        <f aca="false">'Model by Bracket'!E8</f>
        <v>1982.2</v>
      </c>
      <c r="D20" s="20" t="n">
        <f aca="false">'Model by Bracket'!H8</f>
        <v>421.8</v>
      </c>
      <c r="E20" s="20" t="n">
        <f aca="false">'Model by Bracket'!K8</f>
        <v>195</v>
      </c>
      <c r="F20" s="24" t="n">
        <f aca="false">'Model by Bracket'!N8/('Model by Bracket'!H8+'Model by Bracket'!K8)</f>
        <v>0.291516073868433</v>
      </c>
      <c r="G20" s="8" t="s">
        <v>135</v>
      </c>
    </row>
    <row r="21" customFormat="false" ht="15" hidden="false" customHeight="true" outlineLevel="0" collapsed="false">
      <c r="A21" s="35" t="str">
        <f aca="false">'Model by Bracket'!A9</f>
        <v>$100–150k</v>
      </c>
      <c r="B21" s="20" t="n">
        <f aca="false">'Model by Bracket'!N9</f>
        <v>218.219579551987</v>
      </c>
      <c r="C21" s="20" t="n">
        <f aca="false">'Model by Bracket'!E9</f>
        <v>2400</v>
      </c>
      <c r="D21" s="20" t="n">
        <f aca="false">'Model by Bracket'!H9</f>
        <v>488.4</v>
      </c>
      <c r="E21" s="20" t="n">
        <f aca="false">'Model by Bracket'!K9</f>
        <v>234</v>
      </c>
      <c r="F21" s="24" t="n">
        <f aca="false">'Model by Bracket'!N9/('Model by Bracket'!H9+'Model by Bracket'!K9)</f>
        <v>0.302075829944611</v>
      </c>
      <c r="G21" s="8" t="s">
        <v>135</v>
      </c>
    </row>
    <row r="22" customFormat="false" ht="15" hidden="false" customHeight="true" outlineLevel="0" collapsed="false">
      <c r="A22" s="35" t="str">
        <f aca="false">'Model by Bracket'!A10</f>
        <v>$150–200k</v>
      </c>
      <c r="B22" s="20" t="n">
        <f aca="false">'Model by Bracket'!N10</f>
        <v>250.865228652965</v>
      </c>
      <c r="C22" s="20" t="n">
        <f aca="false">'Model by Bracket'!E10</f>
        <v>2874</v>
      </c>
      <c r="D22" s="20" t="n">
        <f aca="false">'Model by Bracket'!H10</f>
        <v>577.2</v>
      </c>
      <c r="E22" s="20" t="n">
        <f aca="false">'Model by Bracket'!K10</f>
        <v>276</v>
      </c>
      <c r="F22" s="24" t="n">
        <f aca="false">'Model by Bracket'!N10/('Model by Bracket'!H10+'Model by Bracket'!K10)</f>
        <v>0.294028631801412</v>
      </c>
      <c r="G22" s="8" t="s">
        <v>135</v>
      </c>
    </row>
    <row r="23" customFormat="false" ht="15" hidden="false" customHeight="true" outlineLevel="0" collapsed="false">
      <c r="A23" s="35" t="str">
        <f aca="false">'Model by Bracket'!A11</f>
        <v>$200k+</v>
      </c>
      <c r="B23" s="20" t="n">
        <f aca="false">'Model by Bracket'!N11</f>
        <v>290.95943940265</v>
      </c>
      <c r="C23" s="20" t="n">
        <f aca="false">'Model by Bracket'!E11</f>
        <v>3625</v>
      </c>
      <c r="D23" s="20" t="n">
        <f aca="false">'Model by Bracket'!H11</f>
        <v>666</v>
      </c>
      <c r="E23" s="20" t="n">
        <f aca="false">'Model by Bracket'!K11</f>
        <v>330</v>
      </c>
      <c r="F23" s="24" t="n">
        <f aca="false">'Model by Bracket'!N11/('Model by Bracket'!H11+'Model by Bracket'!K11)</f>
        <v>0.29212795120748</v>
      </c>
      <c r="G23" s="8" t="s">
        <v>135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25" hidden="false" customHeight="true" outlineLevel="0" collapsed="false">
      <c r="A1" s="2" t="s">
        <v>136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10" min="2" style="1" width="10"/>
  </cols>
  <sheetData>
    <row r="1" customFormat="false" ht="15.75" hidden="false" customHeight="true" outlineLevel="0" collapsed="false">
      <c r="A1" s="36" t="s">
        <v>137</v>
      </c>
    </row>
    <row r="2" customFormat="false" ht="15" hidden="false" customHeight="true" outlineLevel="0" collapsed="false">
      <c r="A2" s="3" t="s">
        <v>138</v>
      </c>
    </row>
    <row r="4" customFormat="false" ht="15" hidden="false" customHeight="true" outlineLevel="0" collapsed="false">
      <c r="A4" s="13" t="s">
        <v>139</v>
      </c>
    </row>
    <row r="5" customFormat="false" ht="15" hidden="false" customHeight="true" outlineLevel="0" collapsed="false">
      <c r="A5" s="37" t="s">
        <v>28</v>
      </c>
      <c r="B5" s="37" t="s">
        <v>29</v>
      </c>
      <c r="C5" s="37" t="s">
        <v>30</v>
      </c>
      <c r="D5" s="37" t="s">
        <v>31</v>
      </c>
      <c r="E5" s="37" t="s">
        <v>32</v>
      </c>
      <c r="F5" s="37" t="s">
        <v>33</v>
      </c>
      <c r="G5" s="37" t="s">
        <v>34</v>
      </c>
      <c r="H5" s="37" t="s">
        <v>35</v>
      </c>
      <c r="I5" s="37" t="s">
        <v>36</v>
      </c>
      <c r="J5" s="37" t="s">
        <v>140</v>
      </c>
    </row>
    <row r="6" customFormat="false" ht="15" hidden="false" customHeight="true" outlineLevel="0" collapsed="false">
      <c r="A6" s="1" t="s">
        <v>37</v>
      </c>
      <c r="B6" s="38" t="n">
        <v>0.15</v>
      </c>
      <c r="C6" s="39" t="n">
        <v>0.008</v>
      </c>
      <c r="D6" s="39" t="n">
        <v>0.006</v>
      </c>
      <c r="E6" s="39" t="n">
        <v>0.004</v>
      </c>
      <c r="F6" s="39" t="n">
        <v>0.003</v>
      </c>
      <c r="G6" s="39" t="n">
        <v>0.002</v>
      </c>
      <c r="H6" s="39" t="n">
        <v>0.001</v>
      </c>
      <c r="I6" s="39" t="n">
        <v>0.001</v>
      </c>
      <c r="J6" s="40" t="n">
        <f aca="false">(1+C6)*(1+D6)*(1+E6)*(1+F6)*(1+G6)*(1+H6)*(1+I6)-1</f>
        <v>0.0252482464291435</v>
      </c>
    </row>
    <row r="7" customFormat="false" ht="15" hidden="false" customHeight="true" outlineLevel="0" collapsed="false">
      <c r="A7" s="1" t="s">
        <v>38</v>
      </c>
      <c r="B7" s="38" t="n">
        <v>0.4</v>
      </c>
      <c r="C7" s="39" t="n">
        <v>0.01</v>
      </c>
      <c r="D7" s="39" t="n">
        <v>0.01</v>
      </c>
      <c r="E7" s="39" t="n">
        <v>0.009</v>
      </c>
      <c r="F7" s="39" t="n">
        <v>0.008</v>
      </c>
      <c r="G7" s="39" t="n">
        <v>0.007</v>
      </c>
      <c r="H7" s="39" t="n">
        <v>0.006</v>
      </c>
      <c r="I7" s="39" t="n">
        <v>0.005</v>
      </c>
      <c r="J7" s="40" t="n">
        <f aca="false">(1+C7)*(1+D7)*(1+E7)*(1+F7)*(1+G7)*(1+H7)*(1+I7)-1</f>
        <v>0.0563016518485313</v>
      </c>
    </row>
    <row r="8" customFormat="false" ht="15" hidden="false" customHeight="true" outlineLevel="0" collapsed="false">
      <c r="A8" s="1" t="s">
        <v>39</v>
      </c>
      <c r="B8" s="38" t="n">
        <v>0.45</v>
      </c>
      <c r="C8" s="39" t="n">
        <v>0.016</v>
      </c>
      <c r="D8" s="39" t="n">
        <v>0.015</v>
      </c>
      <c r="E8" s="39" t="n">
        <v>0.014</v>
      </c>
      <c r="F8" s="39" t="n">
        <v>0.013</v>
      </c>
      <c r="G8" s="39" t="n">
        <v>0.012</v>
      </c>
      <c r="H8" s="39" t="n">
        <v>0.011</v>
      </c>
      <c r="I8" s="39" t="n">
        <v>0.01</v>
      </c>
      <c r="J8" s="40" t="n">
        <f aca="false">(1+C8)*(1+D8)*(1+E8)*(1+F8)*(1+G8)*(1+H8)*(1+I8)-1</f>
        <v>0.0946119685473545</v>
      </c>
    </row>
    <row r="9" customFormat="false" ht="15" hidden="false" customHeight="true" outlineLevel="0" collapsed="false">
      <c r="A9" s="1" t="s">
        <v>141</v>
      </c>
      <c r="B9" s="41" t="n">
        <f aca="false">SUM(B6:B8)</f>
        <v>1</v>
      </c>
    </row>
    <row r="11" customFormat="false" ht="15" hidden="false" customHeight="true" outlineLevel="0" collapsed="false">
      <c r="A11" s="13" t="s">
        <v>44</v>
      </c>
      <c r="B11" s="42" t="n">
        <f aca="false">SUMPRODUCT(B6:B8,J6:J8)</f>
        <v>0.0688832835500936</v>
      </c>
    </row>
    <row r="13" customFormat="false" ht="15" hidden="false" customHeight="true" outlineLevel="0" collapsed="false">
      <c r="A13" s="3" t="s">
        <v>142</v>
      </c>
    </row>
    <row r="14" customFormat="false" ht="15" hidden="false" customHeight="true" outlineLevel="0" collapsed="false">
      <c r="A14" s="3" t="s">
        <v>143</v>
      </c>
    </row>
    <row r="17" customFormat="false" ht="15" hidden="false" customHeight="true" outlineLevel="0" collapsed="false">
      <c r="A17" s="13" t="s">
        <v>144</v>
      </c>
    </row>
    <row r="18" customFormat="false" ht="15" hidden="false" customHeight="true" outlineLevel="0" collapsed="false">
      <c r="A18" s="3" t="s">
        <v>145</v>
      </c>
    </row>
    <row r="19" customFormat="false" ht="15" hidden="false" customHeight="true" outlineLevel="0" collapsed="false">
      <c r="A19" s="3" t="s">
        <v>146</v>
      </c>
    </row>
    <row r="20" customFormat="false" ht="15" hidden="false" customHeight="true" outlineLevel="0" collapsed="false">
      <c r="A20" s="3" t="s">
        <v>147</v>
      </c>
    </row>
    <row r="21" customFormat="false" ht="15" hidden="false" customHeight="true" outlineLevel="0" collapsed="false">
      <c r="A21" s="3" t="s">
        <v>148</v>
      </c>
    </row>
    <row r="22" customFormat="false" ht="15" hidden="false" customHeight="true" outlineLevel="0" collapsed="false">
      <c r="A22" s="3" t="s">
        <v>149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7" min="2" style="1" width="14"/>
  </cols>
  <sheetData>
    <row r="1" customFormat="false" ht="15.75" hidden="false" customHeight="true" outlineLevel="0" collapsed="false">
      <c r="A1" s="36" t="s">
        <v>150</v>
      </c>
    </row>
    <row r="2" customFormat="false" ht="15" hidden="false" customHeight="true" outlineLevel="0" collapsed="false">
      <c r="A2" s="3" t="s">
        <v>151</v>
      </c>
    </row>
    <row r="4" customFormat="false" ht="23.25" hidden="false" customHeight="true" outlineLevel="0" collapsed="false">
      <c r="A4" s="43" t="s">
        <v>62</v>
      </c>
      <c r="B4" s="43" t="s">
        <v>63</v>
      </c>
      <c r="C4" s="43" t="s">
        <v>64</v>
      </c>
      <c r="D4" s="43" t="s">
        <v>152</v>
      </c>
      <c r="E4" s="43" t="s">
        <v>74</v>
      </c>
      <c r="F4" s="43" t="s">
        <v>75</v>
      </c>
      <c r="G4" s="43" t="s">
        <v>76</v>
      </c>
    </row>
    <row r="5" customFormat="false" ht="15" hidden="false" customHeight="true" outlineLevel="0" collapsed="false">
      <c r="A5" s="44" t="str">
        <f aca="false">'Model by Bracket'!A5</f>
        <v>&lt;$25k</v>
      </c>
      <c r="B5" s="45" t="n">
        <f aca="false">'Model by Bracket'!B5</f>
        <v>18.5</v>
      </c>
      <c r="C5" s="46" t="n">
        <f aca="false">'Model by Bracket'!C5</f>
        <v>2750</v>
      </c>
      <c r="D5" s="47" t="n">
        <v>1.44</v>
      </c>
      <c r="E5" s="40" t="n">
        <f aca="false">'Realist — Assumptions'!$B$11*D5</f>
        <v>0.0991919283121348</v>
      </c>
      <c r="F5" s="48" t="n">
        <f aca="false">C5*E5</f>
        <v>272.777802858371</v>
      </c>
      <c r="G5" s="49" t="n">
        <f aca="false">B5*F5/1000</f>
        <v>5.04638935287986</v>
      </c>
    </row>
    <row r="6" customFormat="false" ht="15" hidden="false" customHeight="true" outlineLevel="0" collapsed="false">
      <c r="A6" s="44" t="str">
        <f aca="false">'Model by Bracket'!A6</f>
        <v>$25–50k</v>
      </c>
      <c r="B6" s="45" t="n">
        <f aca="false">'Model by Bracket'!B6</f>
        <v>21.9</v>
      </c>
      <c r="C6" s="46" t="n">
        <f aca="false">'Model by Bracket'!C6</f>
        <v>3500</v>
      </c>
      <c r="D6" s="47" t="n">
        <v>1.36</v>
      </c>
      <c r="E6" s="40" t="n">
        <f aca="false">'Realist — Assumptions'!$B$11*D6</f>
        <v>0.0936812656281273</v>
      </c>
      <c r="F6" s="48" t="n">
        <f aca="false">C6*E6</f>
        <v>327.884429698446</v>
      </c>
      <c r="G6" s="49" t="n">
        <f aca="false">B6*F6/1000</f>
        <v>7.18066901039596</v>
      </c>
    </row>
    <row r="7" customFormat="false" ht="15" hidden="false" customHeight="true" outlineLevel="0" collapsed="false">
      <c r="A7" s="44" t="str">
        <f aca="false">'Model by Bracket'!A7</f>
        <v>$50–75k</v>
      </c>
      <c r="B7" s="45" t="n">
        <f aca="false">'Model by Bracket'!B7</f>
        <v>19</v>
      </c>
      <c r="C7" s="46" t="n">
        <f aca="false">'Model by Bracket'!C7</f>
        <v>4580</v>
      </c>
      <c r="D7" s="47" t="n">
        <v>1.26</v>
      </c>
      <c r="E7" s="40" t="n">
        <f aca="false">'Realist — Assumptions'!$B$11*D7</f>
        <v>0.0867929372731179</v>
      </c>
      <c r="F7" s="48" t="n">
        <f aca="false">C7*E7</f>
        <v>397.51165271088</v>
      </c>
      <c r="G7" s="49" t="n">
        <f aca="false">B7*F7/1000</f>
        <v>7.55272140150672</v>
      </c>
    </row>
    <row r="8" customFormat="false" ht="15" hidden="false" customHeight="true" outlineLevel="0" collapsed="false">
      <c r="A8" s="44" t="str">
        <f aca="false">'Model by Bracket'!A8</f>
        <v>$75–100k</v>
      </c>
      <c r="B8" s="45" t="n">
        <f aca="false">'Model by Bracket'!B8</f>
        <v>18.2</v>
      </c>
      <c r="C8" s="46" t="n">
        <f aca="false">'Model by Bracket'!C8</f>
        <v>5830</v>
      </c>
      <c r="D8" s="47" t="n">
        <v>1.18</v>
      </c>
      <c r="E8" s="40" t="n">
        <f aca="false">'Realist — Assumptions'!$B$11*D8</f>
        <v>0.0812822745891104</v>
      </c>
      <c r="F8" s="48" t="n">
        <f aca="false">C8*E8</f>
        <v>473.875660854514</v>
      </c>
      <c r="G8" s="49" t="n">
        <f aca="false">B8*F8/1000</f>
        <v>8.62453702755215</v>
      </c>
    </row>
    <row r="9" customFormat="false" ht="15" hidden="false" customHeight="true" outlineLevel="0" collapsed="false">
      <c r="A9" s="44" t="str">
        <f aca="false">'Model by Bracket'!A9</f>
        <v>$100–150k</v>
      </c>
      <c r="B9" s="45" t="n">
        <f aca="false">'Model by Bracket'!B9</f>
        <v>21.1</v>
      </c>
      <c r="C9" s="46" t="n">
        <f aca="false">'Model by Bracket'!C9</f>
        <v>7500</v>
      </c>
      <c r="D9" s="47" t="n">
        <v>1.12</v>
      </c>
      <c r="E9" s="40" t="n">
        <f aca="false">'Realist — Assumptions'!$B$11*D9</f>
        <v>0.0771492775761048</v>
      </c>
      <c r="F9" s="48" t="n">
        <f aca="false">C9*E9</f>
        <v>578.619581820786</v>
      </c>
      <c r="G9" s="49" t="n">
        <f aca="false">B9*F9/1000</f>
        <v>12.2088731764186</v>
      </c>
    </row>
    <row r="10" customFormat="false" ht="15" hidden="false" customHeight="true" outlineLevel="0" collapsed="false">
      <c r="A10" s="44" t="str">
        <f aca="false">'Model by Bracket'!A10</f>
        <v>$150–200k</v>
      </c>
      <c r="B10" s="45" t="n">
        <f aca="false">'Model by Bracket'!B10</f>
        <v>12.1</v>
      </c>
      <c r="C10" s="46" t="n">
        <f aca="false">'Model by Bracket'!C10</f>
        <v>9580</v>
      </c>
      <c r="D10" s="47" t="n">
        <v>1.02</v>
      </c>
      <c r="E10" s="40" t="n">
        <f aca="false">'Realist — Assumptions'!$B$11*D10</f>
        <v>0.0702609492210955</v>
      </c>
      <c r="F10" s="48" t="n">
        <f aca="false">C10*E10</f>
        <v>673.099893538095</v>
      </c>
      <c r="G10" s="49" t="n">
        <f aca="false">B10*F10/1000</f>
        <v>8.14450871181094</v>
      </c>
    </row>
    <row r="11" customFormat="false" ht="15" hidden="false" customHeight="true" outlineLevel="0" collapsed="false">
      <c r="A11" s="44" t="str">
        <f aca="false">'Model by Bracket'!A11</f>
        <v>$200k+</v>
      </c>
      <c r="B11" s="45" t="n">
        <f aca="false">'Model by Bracket'!B11</f>
        <v>21.1</v>
      </c>
      <c r="C11" s="46" t="n">
        <f aca="false">'Model by Bracket'!C11</f>
        <v>12500</v>
      </c>
      <c r="D11" s="47" t="n">
        <v>0.92</v>
      </c>
      <c r="E11" s="40" t="n">
        <f aca="false">'Realist — Assumptions'!$B$11*D11</f>
        <v>0.0633726208660861</v>
      </c>
      <c r="F11" s="48" t="n">
        <f aca="false">C11*E11</f>
        <v>792.157760826076</v>
      </c>
      <c r="G11" s="49" t="n">
        <f aca="false">B11*F11/1000</f>
        <v>16.7145287534302</v>
      </c>
    </row>
    <row r="12" customFormat="false" ht="15" hidden="false" customHeight="true" outlineLevel="0" collapsed="false">
      <c r="A12" s="13" t="s">
        <v>88</v>
      </c>
      <c r="B12" s="1" t="n">
        <f aca="false">SUM(B5:B11)</f>
        <v>131.9</v>
      </c>
      <c r="E12" s="40" t="n">
        <f aca="false">SUMPRODUCT(B5:B11,F5:F11)/SUMPRODUCT(B5:B11,C5:C11)</f>
        <v>0.076257385759321</v>
      </c>
      <c r="F12" s="48" t="n">
        <f aca="false">SUMPRODUCT(B5:B11,F5:F11)/SUM(B5:B11)</f>
        <v>496.377766747494</v>
      </c>
      <c r="G12" s="50" t="n">
        <f aca="false">SUM(G5:G11)</f>
        <v>65.4722274339944</v>
      </c>
    </row>
    <row r="14" customFormat="false" ht="15" hidden="false" customHeight="true" outlineLevel="0" collapsed="false">
      <c r="A14" s="13" t="s">
        <v>153</v>
      </c>
    </row>
    <row r="15" customFormat="false" ht="15" hidden="false" customHeight="true" outlineLevel="0" collapsed="false">
      <c r="A15" s="1" t="s">
        <v>154</v>
      </c>
      <c r="G15" s="51" t="n">
        <f aca="false">'Model by Bracket'!O12</f>
        <v>24.6574263586053</v>
      </c>
    </row>
    <row r="16" customFormat="false" ht="15" hidden="false" customHeight="true" outlineLevel="0" collapsed="false">
      <c r="A16" s="1" t="s">
        <v>155</v>
      </c>
      <c r="G16" s="49" t="n">
        <f aca="false">G12</f>
        <v>65.4722274339944</v>
      </c>
    </row>
    <row r="17" customFormat="false" ht="15" hidden="false" customHeight="true" outlineLevel="0" collapsed="false">
      <c r="A17" s="1" t="s">
        <v>156</v>
      </c>
      <c r="G17" s="52" t="n">
        <f aca="false">G12/'Model by Bracket'!O12</f>
        <v>2.65527417508215</v>
      </c>
    </row>
    <row r="18" customFormat="false" ht="15" hidden="false" customHeight="true" outlineLevel="0" collapsed="false">
      <c r="A18" s="1" t="s">
        <v>157</v>
      </c>
      <c r="G18" s="48" t="n">
        <f aca="false">G12*12</f>
        <v>785.666729207933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9" min="2" style="1" width="13"/>
    <col collapsed="false" customWidth="true" hidden="false" outlineLevel="0" max="10" min="10" style="1" width="42"/>
  </cols>
  <sheetData>
    <row r="1" customFormat="false" ht="15.75" hidden="false" customHeight="true" outlineLevel="0" collapsed="false">
      <c r="A1" s="36" t="s">
        <v>158</v>
      </c>
    </row>
    <row r="2" customFormat="false" ht="15" hidden="false" customHeight="true" outlineLevel="0" collapsed="false">
      <c r="A2" s="3" t="s">
        <v>159</v>
      </c>
    </row>
    <row r="4" customFormat="false" ht="23.25" hidden="false" customHeight="true" outlineLevel="0" collapsed="false">
      <c r="A4" s="43" t="s">
        <v>160</v>
      </c>
      <c r="B4" s="43" t="s">
        <v>161</v>
      </c>
      <c r="C4" s="43" t="s">
        <v>162</v>
      </c>
      <c r="D4" s="43" t="s">
        <v>163</v>
      </c>
      <c r="E4" s="43" t="s">
        <v>164</v>
      </c>
      <c r="F4" s="43" t="s">
        <v>165</v>
      </c>
      <c r="G4" s="43" t="s">
        <v>166</v>
      </c>
      <c r="H4" s="43" t="s">
        <v>167</v>
      </c>
      <c r="I4" s="43" t="s">
        <v>168</v>
      </c>
      <c r="J4" s="43" t="s">
        <v>169</v>
      </c>
    </row>
    <row r="5" customFormat="false" ht="15" hidden="false" customHeight="true" outlineLevel="0" collapsed="false">
      <c r="A5" s="1" t="s">
        <v>170</v>
      </c>
      <c r="B5" s="47" t="n">
        <v>3.4</v>
      </c>
      <c r="C5" s="47" t="n">
        <v>4.5</v>
      </c>
      <c r="D5" s="47" t="n">
        <v>6</v>
      </c>
      <c r="E5" s="1" t="n">
        <f aca="false">B5*Assumptions!$B$5+C5*Assumptions!$B$6+D5*Assumptions!$B$7</f>
        <v>4.545</v>
      </c>
      <c r="F5" s="47" t="n">
        <v>4.5</v>
      </c>
      <c r="G5" s="47" t="n">
        <v>6.5</v>
      </c>
      <c r="H5" s="47" t="n">
        <v>9.5</v>
      </c>
      <c r="I5" s="1" t="n">
        <f aca="false">F5*'Realist — Assumptions'!$B$6+G5*'Realist — Assumptions'!$B$7+H5*'Realist — Assumptions'!$B$8</f>
        <v>7.55</v>
      </c>
      <c r="J5" s="3" t="s">
        <v>171</v>
      </c>
    </row>
    <row r="6" customFormat="false" ht="15" hidden="false" customHeight="true" outlineLevel="0" collapsed="false">
      <c r="A6" s="1" t="s">
        <v>172</v>
      </c>
      <c r="B6" s="47" t="n">
        <v>-15</v>
      </c>
      <c r="C6" s="47" t="n">
        <v>25</v>
      </c>
      <c r="D6" s="47" t="n">
        <v>70</v>
      </c>
      <c r="E6" s="1" t="n">
        <f aca="false">B6*Assumptions!$B$5+C6*Assumptions!$B$6+D6*Assumptions!$B$7</f>
        <v>24.25</v>
      </c>
      <c r="F6" s="47" t="n">
        <v>20</v>
      </c>
      <c r="G6" s="47" t="n">
        <v>60</v>
      </c>
      <c r="H6" s="47" t="n">
        <v>120</v>
      </c>
      <c r="I6" s="1" t="n">
        <f aca="false">F6*'Realist — Assumptions'!$B$6+G6*'Realist — Assumptions'!$B$7+H6*'Realist — Assumptions'!$B$8</f>
        <v>81</v>
      </c>
      <c r="J6" s="3" t="s">
        <v>173</v>
      </c>
    </row>
    <row r="7" customFormat="false" ht="15" hidden="false" customHeight="true" outlineLevel="0" collapsed="false">
      <c r="A7" s="1" t="s">
        <v>174</v>
      </c>
      <c r="B7" s="47" t="n">
        <v>3</v>
      </c>
      <c r="C7" s="47" t="n">
        <v>-2</v>
      </c>
      <c r="D7" s="47" t="n">
        <v>-8</v>
      </c>
      <c r="E7" s="1" t="n">
        <f aca="false">B7*Assumptions!$B$5+C7*Assumptions!$B$6+D7*Assumptions!$B$7</f>
        <v>-2</v>
      </c>
      <c r="F7" s="47" t="n">
        <v>-5</v>
      </c>
      <c r="G7" s="47" t="n">
        <v>-12</v>
      </c>
      <c r="H7" s="47" t="n">
        <v>-25</v>
      </c>
      <c r="I7" s="1" t="n">
        <f aca="false">F7*'Realist — Assumptions'!$B$6+G7*'Realist — Assumptions'!$B$7+H7*'Realist — Assumptions'!$B$8</f>
        <v>-16.8</v>
      </c>
      <c r="J7" s="3" t="s">
        <v>175</v>
      </c>
    </row>
    <row r="8" customFormat="false" ht="15" hidden="false" customHeight="true" outlineLevel="0" collapsed="false">
      <c r="A8" s="1" t="s">
        <v>176</v>
      </c>
      <c r="B8" s="47" t="n">
        <v>1</v>
      </c>
      <c r="C8" s="47" t="n">
        <v>-2</v>
      </c>
      <c r="D8" s="47" t="n">
        <v>-6</v>
      </c>
      <c r="E8" s="1" t="n">
        <f aca="false">B8*Assumptions!$B$5+C8*Assumptions!$B$6+D8*Assumptions!$B$7</f>
        <v>-2.1</v>
      </c>
      <c r="F8" s="47" t="n">
        <v>-3</v>
      </c>
      <c r="G8" s="47" t="n">
        <v>-8</v>
      </c>
      <c r="H8" s="47" t="n">
        <v>-15</v>
      </c>
      <c r="I8" s="1" t="n">
        <f aca="false">F8*'Realist — Assumptions'!$B$6+G8*'Realist — Assumptions'!$B$7+H8*'Realist — Assumptions'!$B$8</f>
        <v>-10.4</v>
      </c>
      <c r="J8" s="3" t="s">
        <v>177</v>
      </c>
    </row>
    <row r="9" customFormat="false" ht="15" hidden="false" customHeight="true" outlineLevel="0" collapsed="false">
      <c r="A9" s="1" t="s">
        <v>178</v>
      </c>
      <c r="B9" s="47" t="n">
        <v>6</v>
      </c>
      <c r="C9" s="47" t="n">
        <v>-10</v>
      </c>
      <c r="D9" s="47" t="n">
        <v>-30</v>
      </c>
      <c r="E9" s="1" t="n">
        <f aca="false">B9*Assumptions!$B$5+C9*Assumptions!$B$6+D9*Assumptions!$B$7</f>
        <v>-10.2</v>
      </c>
      <c r="F9" s="53" t="n">
        <v>-12</v>
      </c>
      <c r="G9" s="53" t="n">
        <v>-30</v>
      </c>
      <c r="H9" s="53" t="n">
        <v>-50</v>
      </c>
      <c r="I9" s="1" t="n">
        <f aca="false">F9*'Realist — Assumptions'!$B$6+G9*'Realist — Assumptions'!$B$7+H9*'Realist — Assumptions'!$B$8</f>
        <v>-36.3</v>
      </c>
      <c r="J9" s="3" t="s">
        <v>179</v>
      </c>
    </row>
    <row r="12" customFormat="false" ht="15" hidden="false" customHeight="true" outlineLevel="0" collapsed="false">
      <c r="A12" s="13" t="s">
        <v>180</v>
      </c>
    </row>
    <row r="13" customFormat="false" ht="15" hidden="false" customHeight="true" outlineLevel="0" collapsed="false">
      <c r="A13" s="3" t="s">
        <v>181</v>
      </c>
    </row>
    <row r="14" customFormat="false" ht="15" hidden="false" customHeight="true" outlineLevel="0" collapsed="false">
      <c r="A14" s="1" t="s">
        <v>182</v>
      </c>
      <c r="B14" s="53" t="s">
        <v>183</v>
      </c>
      <c r="J14" s="3" t="s">
        <v>184</v>
      </c>
    </row>
    <row r="15" customFormat="false" ht="15" hidden="false" customHeight="true" outlineLevel="0" collapsed="false">
      <c r="A15" s="1" t="s">
        <v>185</v>
      </c>
      <c r="B15" s="53" t="n">
        <v>40</v>
      </c>
      <c r="J15" s="3" t="s">
        <v>186</v>
      </c>
    </row>
    <row r="16" customFormat="false" ht="15" hidden="false" customHeight="true" outlineLevel="0" collapsed="false">
      <c r="A16" s="1" t="s">
        <v>187</v>
      </c>
      <c r="B16" s="53" t="s">
        <v>188</v>
      </c>
      <c r="J16" s="3" t="s">
        <v>186</v>
      </c>
    </row>
    <row r="17" customFormat="false" ht="15" hidden="false" customHeight="true" outlineLevel="0" collapsed="false">
      <c r="A17" s="1" t="s">
        <v>189</v>
      </c>
      <c r="B17" s="53" t="s">
        <v>190</v>
      </c>
      <c r="J17" s="3" t="s">
        <v>191</v>
      </c>
    </row>
    <row r="18" customFormat="false" ht="15" hidden="false" customHeight="true" outlineLevel="0" collapsed="false">
      <c r="A18" s="1" t="s">
        <v>192</v>
      </c>
      <c r="B18" s="53"/>
      <c r="J18" s="3" t="s">
        <v>193</v>
      </c>
    </row>
    <row r="19" customFormat="false" ht="15" hidden="false" customHeight="true" outlineLevel="0" collapsed="false">
      <c r="A19" s="1" t="s">
        <v>194</v>
      </c>
      <c r="B19" s="53"/>
      <c r="J19" s="3" t="s">
        <v>195</v>
      </c>
    </row>
    <row r="20" customFormat="false" ht="15" hidden="false" customHeight="true" outlineLevel="0" collapsed="false">
      <c r="A20" s="1" t="s">
        <v>196</v>
      </c>
      <c r="B20" s="53"/>
      <c r="J20" s="3" t="s">
        <v>197</v>
      </c>
    </row>
    <row r="22" customFormat="false" ht="15" hidden="false" customHeight="true" outlineLevel="0" collapsed="false">
      <c r="A22" s="13" t="s">
        <v>198</v>
      </c>
    </row>
    <row r="23" customFormat="false" ht="15" hidden="false" customHeight="true" outlineLevel="0" collapsed="false">
      <c r="A23" s="37" t="s">
        <v>199</v>
      </c>
      <c r="B23" s="37" t="s">
        <v>200</v>
      </c>
      <c r="C23" s="37" t="s">
        <v>201</v>
      </c>
    </row>
    <row r="24" customFormat="false" ht="15" hidden="false" customHeight="true" outlineLevel="0" collapsed="false">
      <c r="A24" s="1" t="s">
        <v>202</v>
      </c>
      <c r="B24" s="1" t="s">
        <v>203</v>
      </c>
      <c r="C24" s="3" t="s">
        <v>204</v>
      </c>
    </row>
    <row r="25" customFormat="false" ht="15" hidden="false" customHeight="true" outlineLevel="0" collapsed="false">
      <c r="A25" s="1" t="s">
        <v>205</v>
      </c>
      <c r="B25" s="1" t="s">
        <v>206</v>
      </c>
      <c r="C25" s="3"/>
    </row>
    <row r="26" customFormat="false" ht="15" hidden="false" customHeight="true" outlineLevel="0" collapsed="false">
      <c r="A26" s="1" t="s">
        <v>207</v>
      </c>
      <c r="B26" s="1" t="s">
        <v>203</v>
      </c>
      <c r="C26" s="3" t="s">
        <v>208</v>
      </c>
    </row>
    <row r="27" customFormat="false" ht="15" hidden="false" customHeight="true" outlineLevel="0" collapsed="false">
      <c r="A27" s="1" t="s">
        <v>209</v>
      </c>
      <c r="B27" s="1" t="s">
        <v>206</v>
      </c>
      <c r="C27" s="3"/>
    </row>
    <row r="28" customFormat="false" ht="15" hidden="false" customHeight="true" outlineLevel="0" collapsed="false">
      <c r="A28" s="1" t="s">
        <v>210</v>
      </c>
      <c r="B28" s="1" t="s">
        <v>203</v>
      </c>
      <c r="C28" s="3" t="s">
        <v>211</v>
      </c>
    </row>
    <row r="30" customFormat="false" ht="15" hidden="false" customHeight="true" outlineLevel="0" collapsed="false">
      <c r="A30" s="3" t="s">
        <v>212</v>
      </c>
    </row>
    <row r="32" customFormat="false" ht="15" hidden="false" customHeight="true" outlineLevel="0" collapsed="false">
      <c r="A32" s="13" t="s">
        <v>213</v>
      </c>
    </row>
    <row r="33" customFormat="false" ht="15" hidden="false" customHeight="true" outlineLevel="0" collapsed="false">
      <c r="A33" s="3" t="s">
        <v>214</v>
      </c>
    </row>
    <row r="34" customFormat="false" ht="15" hidden="false" customHeight="true" outlineLevel="0" collapsed="false">
      <c r="A34" s="3" t="s">
        <v>215</v>
      </c>
    </row>
    <row r="35" customFormat="false" ht="15" hidden="false" customHeight="true" outlineLevel="0" collapsed="false">
      <c r="A35" s="1" t="s">
        <v>216</v>
      </c>
      <c r="B35" s="48" t="n">
        <f aca="false">'Model by Bracket'!O12*4.45</f>
        <v>109.725547295793</v>
      </c>
    </row>
    <row r="36" customFormat="false" ht="15" hidden="false" customHeight="true" outlineLevel="0" collapsed="false">
      <c r="A36" s="1" t="s">
        <v>217</v>
      </c>
      <c r="B36" s="48" t="n">
        <f aca="false">'Realist — Model'!G12*4.37</f>
        <v>286.113633886556</v>
      </c>
    </row>
    <row r="39" customFormat="false" ht="15" hidden="false" customHeight="true" outlineLevel="0" collapsed="false">
      <c r="A39" s="54" t="s">
        <v>218</v>
      </c>
      <c r="B39" s="55"/>
      <c r="C39" s="55"/>
      <c r="D39" s="55"/>
      <c r="E39" s="55"/>
    </row>
    <row r="40" customFormat="false" ht="42" hidden="false" customHeight="true" outlineLevel="0" collapsed="false">
      <c r="A40" s="56" t="s">
        <v>219</v>
      </c>
    </row>
    <row r="42" customFormat="false" ht="15" hidden="false" customHeight="true" outlineLevel="0" collapsed="false">
      <c r="A42" s="57" t="s">
        <v>220</v>
      </c>
      <c r="B42" s="57" t="s">
        <v>221</v>
      </c>
      <c r="C42" s="57" t="s">
        <v>222</v>
      </c>
      <c r="D42" s="57" t="s">
        <v>223</v>
      </c>
    </row>
    <row r="43" customFormat="false" ht="15" hidden="false" customHeight="true" outlineLevel="0" collapsed="false">
      <c r="A43" s="1" t="s">
        <v>224</v>
      </c>
      <c r="B43" s="1" t="s">
        <v>225</v>
      </c>
      <c r="C43" s="1" t="s">
        <v>226</v>
      </c>
      <c r="D43" s="1" t="s">
        <v>227</v>
      </c>
    </row>
    <row r="44" customFormat="false" ht="15" hidden="false" customHeight="true" outlineLevel="0" collapsed="false">
      <c r="A44" s="1" t="s">
        <v>228</v>
      </c>
      <c r="B44" s="1" t="s">
        <v>229</v>
      </c>
      <c r="C44" s="1" t="s">
        <v>230</v>
      </c>
      <c r="D44" s="1" t="s">
        <v>231</v>
      </c>
    </row>
    <row r="45" customFormat="false" ht="15" hidden="false" customHeight="true" outlineLevel="0" collapsed="false">
      <c r="A45" s="1" t="s">
        <v>232</v>
      </c>
      <c r="B45" s="1" t="s">
        <v>233</v>
      </c>
      <c r="C45" s="1" t="s">
        <v>234</v>
      </c>
      <c r="D45" s="1" t="s">
        <v>235</v>
      </c>
    </row>
    <row r="46" customFormat="false" ht="15" hidden="false" customHeight="true" outlineLevel="0" collapsed="false">
      <c r="A46" s="1" t="s">
        <v>236</v>
      </c>
      <c r="B46" s="1" t="s">
        <v>237</v>
      </c>
      <c r="C46" s="1" t="s">
        <v>238</v>
      </c>
      <c r="D46" s="1" t="s">
        <v>239</v>
      </c>
    </row>
    <row r="48" customFormat="false" ht="15" hidden="false" customHeight="true" outlineLevel="0" collapsed="false">
      <c r="A48" s="13" t="s">
        <v>240</v>
      </c>
    </row>
    <row r="49" customFormat="false" ht="15" hidden="false" customHeight="true" outlineLevel="0" collapsed="false">
      <c r="A49" s="57" t="s">
        <v>241</v>
      </c>
      <c r="B49" s="57" t="s">
        <v>242</v>
      </c>
      <c r="C49" s="57" t="s">
        <v>243</v>
      </c>
      <c r="D49" s="57" t="s">
        <v>244</v>
      </c>
      <c r="E49" s="57" t="s">
        <v>245</v>
      </c>
    </row>
    <row r="50" customFormat="false" ht="15" hidden="false" customHeight="true" outlineLevel="0" collapsed="false">
      <c r="A50" s="1" t="s">
        <v>246</v>
      </c>
      <c r="B50" s="47" t="n">
        <v>6</v>
      </c>
      <c r="C50" s="47" t="n">
        <v>0</v>
      </c>
      <c r="D50" s="47" t="n">
        <v>-6</v>
      </c>
      <c r="E50" s="3" t="s">
        <v>247</v>
      </c>
    </row>
    <row r="51" customFormat="false" ht="15" hidden="false" customHeight="true" outlineLevel="0" collapsed="false">
      <c r="A51" s="1" t="s">
        <v>248</v>
      </c>
      <c r="B51" s="47" t="n">
        <v>22</v>
      </c>
      <c r="C51" s="47" t="n">
        <v>0</v>
      </c>
      <c r="D51" s="47" t="n">
        <v>-22</v>
      </c>
      <c r="E51" s="3" t="s">
        <v>247</v>
      </c>
    </row>
    <row r="52" customFormat="false" ht="15" hidden="false" customHeight="true" outlineLevel="0" collapsed="false">
      <c r="A52" s="1" t="s">
        <v>249</v>
      </c>
      <c r="B52" s="47" t="n">
        <v>-25</v>
      </c>
      <c r="C52" s="47" t="n">
        <v>0</v>
      </c>
      <c r="D52" s="47" t="n">
        <v>25</v>
      </c>
      <c r="E52" s="3" t="s">
        <v>250</v>
      </c>
    </row>
    <row r="54" customFormat="false" ht="15" hidden="false" customHeight="true" outlineLevel="0" collapsed="false">
      <c r="A54" s="13" t="s">
        <v>251</v>
      </c>
    </row>
    <row r="55" customFormat="false" ht="15" hidden="false" customHeight="true" outlineLevel="0" collapsed="false">
      <c r="A55" s="57" t="s">
        <v>252</v>
      </c>
      <c r="B55" s="57" t="s">
        <v>253</v>
      </c>
      <c r="C55" s="57" t="s">
        <v>254</v>
      </c>
      <c r="D55" s="57" t="s">
        <v>255</v>
      </c>
      <c r="E55" s="57" t="s">
        <v>256</v>
      </c>
    </row>
    <row r="56" customFormat="false" ht="15" hidden="false" customHeight="true" outlineLevel="0" collapsed="false">
      <c r="A56" s="1" t="s">
        <v>246</v>
      </c>
      <c r="B56" s="58" t="n">
        <v>-17</v>
      </c>
      <c r="C56" s="1" t="n">
        <f aca="false">B56+B50</f>
        <v>-11</v>
      </c>
      <c r="D56" s="1" t="n">
        <f aca="false">B56+C50</f>
        <v>-17</v>
      </c>
      <c r="E56" s="1" t="n">
        <f aca="false">B56+D50</f>
        <v>-23</v>
      </c>
    </row>
    <row r="57" customFormat="false" ht="15" hidden="false" customHeight="true" outlineLevel="0" collapsed="false">
      <c r="A57" s="1" t="s">
        <v>257</v>
      </c>
      <c r="B57" s="58" t="n">
        <v>-36</v>
      </c>
      <c r="C57" s="1" t="n">
        <f aca="false">B57+B51</f>
        <v>-14</v>
      </c>
      <c r="D57" s="1" t="n">
        <f aca="false">B57+C51</f>
        <v>-36</v>
      </c>
      <c r="E57" s="1" t="n">
        <f aca="false">B57+D51</f>
        <v>-58</v>
      </c>
    </row>
    <row r="58" customFormat="false" ht="15" hidden="false" customHeight="true" outlineLevel="0" collapsed="false">
      <c r="A58" s="1" t="s">
        <v>258</v>
      </c>
      <c r="B58" s="58" t="n">
        <v>81</v>
      </c>
      <c r="C58" s="1" t="n">
        <f aca="false">B58+B52</f>
        <v>56</v>
      </c>
      <c r="D58" s="1" t="n">
        <f aca="false">B58+C52</f>
        <v>81</v>
      </c>
      <c r="E58" s="1" t="n">
        <f aca="false">B58+D52</f>
        <v>106</v>
      </c>
    </row>
    <row r="60" customFormat="false" ht="27.75" hidden="false" customHeight="true" outlineLevel="0" collapsed="false">
      <c r="A60" s="59" t="s">
        <v>259</v>
      </c>
    </row>
    <row r="61" customFormat="false" ht="42" hidden="false" customHeight="true" outlineLevel="0" collapsed="false">
      <c r="A61" s="56" t="s">
        <v>260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22"/>
    <col collapsed="false" customWidth="true" hidden="false" outlineLevel="0" max="7" min="3" style="1" width="14"/>
    <col collapsed="false" customWidth="true" hidden="false" outlineLevel="0" max="8" min="8" style="1" width="13"/>
    <col collapsed="false" customWidth="true" hidden="false" outlineLevel="0" max="9" min="9" style="1" width="46"/>
  </cols>
  <sheetData>
    <row r="1" customFormat="false" ht="15.75" hidden="false" customHeight="true" outlineLevel="0" collapsed="false">
      <c r="A1" s="36" t="s">
        <v>261</v>
      </c>
    </row>
    <row r="2" customFormat="false" ht="15" hidden="false" customHeight="true" outlineLevel="0" collapsed="false">
      <c r="A2" s="3" t="s">
        <v>262</v>
      </c>
    </row>
    <row r="4" customFormat="false" ht="23.25" hidden="false" customHeight="true" outlineLevel="0" collapsed="false">
      <c r="A4" s="43" t="s">
        <v>263</v>
      </c>
      <c r="B4" s="43" t="s">
        <v>264</v>
      </c>
      <c r="C4" s="43" t="s">
        <v>265</v>
      </c>
      <c r="D4" s="43" t="s">
        <v>266</v>
      </c>
      <c r="E4" s="43" t="s">
        <v>66</v>
      </c>
      <c r="F4" s="43" t="s">
        <v>267</v>
      </c>
      <c r="G4" s="43" t="s">
        <v>268</v>
      </c>
      <c r="H4" s="43" t="s">
        <v>73</v>
      </c>
      <c r="I4" s="43" t="s">
        <v>201</v>
      </c>
    </row>
    <row r="5" customFormat="false" ht="15" hidden="false" customHeight="true" outlineLevel="0" collapsed="false">
      <c r="A5" s="1" t="s">
        <v>269</v>
      </c>
      <c r="B5" s="1" t="s">
        <v>270</v>
      </c>
      <c r="C5" s="47" t="n">
        <v>2350</v>
      </c>
      <c r="D5" s="47" t="n">
        <v>1450</v>
      </c>
      <c r="E5" s="47" t="n">
        <v>1150</v>
      </c>
      <c r="F5" s="47" t="n">
        <v>250</v>
      </c>
      <c r="G5" s="48" t="n">
        <f aca="false">C5-D5-E5-F5</f>
        <v>-500</v>
      </c>
      <c r="H5" s="47" t="n">
        <v>1.25</v>
      </c>
      <c r="I5" s="3" t="s">
        <v>271</v>
      </c>
    </row>
    <row r="6" customFormat="false" ht="15" hidden="false" customHeight="true" outlineLevel="0" collapsed="false">
      <c r="A6" s="1" t="s">
        <v>269</v>
      </c>
      <c r="B6" s="1" t="s">
        <v>272</v>
      </c>
      <c r="C6" s="47" t="n">
        <v>5250</v>
      </c>
      <c r="D6" s="47" t="n">
        <v>2300</v>
      </c>
      <c r="E6" s="47" t="n">
        <v>1900</v>
      </c>
      <c r="F6" s="47" t="n">
        <v>480</v>
      </c>
      <c r="G6" s="48" t="n">
        <f aca="false">C6-D6-E6-F6</f>
        <v>570</v>
      </c>
      <c r="H6" s="47" t="n">
        <v>1.05</v>
      </c>
      <c r="I6" s="3" t="s">
        <v>273</v>
      </c>
    </row>
    <row r="7" customFormat="false" ht="15" hidden="false" customHeight="true" outlineLevel="0" collapsed="false">
      <c r="A7" s="1" t="s">
        <v>269</v>
      </c>
      <c r="B7" s="1" t="s">
        <v>274</v>
      </c>
      <c r="C7" s="47" t="n">
        <v>12500</v>
      </c>
      <c r="D7" s="47" t="n">
        <v>3600</v>
      </c>
      <c r="E7" s="47" t="n">
        <v>3600</v>
      </c>
      <c r="F7" s="47" t="n">
        <v>700</v>
      </c>
      <c r="G7" s="48" t="n">
        <f aca="false">C7-D7-E7-F7</f>
        <v>4600</v>
      </c>
      <c r="H7" s="47" t="n">
        <v>0.8</v>
      </c>
      <c r="I7" s="3" t="s">
        <v>275</v>
      </c>
    </row>
    <row r="8" customFormat="false" ht="15" hidden="false" customHeight="true" outlineLevel="0" collapsed="false">
      <c r="A8" s="1" t="s">
        <v>276</v>
      </c>
      <c r="B8" s="1" t="s">
        <v>277</v>
      </c>
      <c r="C8" s="47" t="n">
        <v>3900</v>
      </c>
      <c r="D8" s="47" t="n">
        <v>1750</v>
      </c>
      <c r="E8" s="47" t="n">
        <v>1450</v>
      </c>
      <c r="F8" s="47" t="n">
        <v>450</v>
      </c>
      <c r="G8" s="48" t="n">
        <f aca="false">C8-D8-E8-F8</f>
        <v>250</v>
      </c>
      <c r="H8" s="47" t="n">
        <v>1.18</v>
      </c>
      <c r="I8" s="3" t="s">
        <v>278</v>
      </c>
    </row>
    <row r="9" customFormat="false" ht="15" hidden="false" customHeight="true" outlineLevel="0" collapsed="false">
      <c r="A9" s="1" t="s">
        <v>276</v>
      </c>
      <c r="B9" s="1" t="s">
        <v>279</v>
      </c>
      <c r="C9" s="47" t="n">
        <v>6400</v>
      </c>
      <c r="D9" s="47" t="n">
        <v>2500</v>
      </c>
      <c r="E9" s="47" t="n">
        <v>2050</v>
      </c>
      <c r="F9" s="47" t="n">
        <v>680</v>
      </c>
      <c r="G9" s="48" t="n">
        <f aca="false">C9-D9-E9-F9</f>
        <v>1170</v>
      </c>
      <c r="H9" s="47" t="n">
        <v>1.05</v>
      </c>
      <c r="I9" s="3" t="s">
        <v>280</v>
      </c>
    </row>
    <row r="10" customFormat="false" ht="15" hidden="false" customHeight="true" outlineLevel="0" collapsed="false">
      <c r="A10" s="1" t="s">
        <v>276</v>
      </c>
      <c r="B10" s="1" t="s">
        <v>281</v>
      </c>
      <c r="C10" s="47" t="n">
        <v>7650</v>
      </c>
      <c r="D10" s="47" t="n">
        <v>3000</v>
      </c>
      <c r="E10" s="47" t="n">
        <v>2350</v>
      </c>
      <c r="F10" s="47" t="n">
        <v>680</v>
      </c>
      <c r="G10" s="48" t="n">
        <f aca="false">C10-D10-E10-F10</f>
        <v>1620</v>
      </c>
      <c r="H10" s="47" t="n">
        <v>0.95</v>
      </c>
      <c r="I10" s="3" t="s">
        <v>282</v>
      </c>
    </row>
    <row r="11" customFormat="false" ht="15" hidden="false" customHeight="true" outlineLevel="0" collapsed="false">
      <c r="A11" s="1" t="s">
        <v>276</v>
      </c>
      <c r="B11" s="1" t="s">
        <v>283</v>
      </c>
      <c r="C11" s="47" t="n">
        <v>5150</v>
      </c>
      <c r="D11" s="47" t="n">
        <v>2300</v>
      </c>
      <c r="E11" s="47" t="n">
        <v>1400</v>
      </c>
      <c r="F11" s="47" t="n">
        <v>250</v>
      </c>
      <c r="G11" s="48" t="n">
        <f aca="false">C11-D11-E11-F11</f>
        <v>1200</v>
      </c>
      <c r="H11" s="47" t="n">
        <v>1</v>
      </c>
      <c r="I11" s="3" t="s">
        <v>284</v>
      </c>
    </row>
    <row r="12" customFormat="false" ht="15" hidden="false" customHeight="true" outlineLevel="0" collapsed="false">
      <c r="A12" s="1" t="s">
        <v>285</v>
      </c>
      <c r="B12" s="1" t="s">
        <v>286</v>
      </c>
      <c r="C12" s="47" t="n">
        <v>3900</v>
      </c>
      <c r="D12" s="47" t="n">
        <v>2100</v>
      </c>
      <c r="E12" s="47" t="n">
        <v>1550</v>
      </c>
      <c r="F12" s="47" t="n">
        <v>300</v>
      </c>
      <c r="G12" s="48" t="n">
        <f aca="false">C12-D12-E12-F12</f>
        <v>-50</v>
      </c>
      <c r="H12" s="47" t="n">
        <v>1.15</v>
      </c>
      <c r="I12" s="3" t="s">
        <v>287</v>
      </c>
    </row>
    <row r="13" customFormat="false" ht="15" hidden="false" customHeight="true" outlineLevel="0" collapsed="false">
      <c r="A13" s="1" t="s">
        <v>285</v>
      </c>
      <c r="B13" s="1" t="s">
        <v>288</v>
      </c>
      <c r="C13" s="47" t="n">
        <v>8333</v>
      </c>
      <c r="D13" s="47" t="n">
        <v>2800</v>
      </c>
      <c r="E13" s="47" t="n">
        <v>2900</v>
      </c>
      <c r="F13" s="47" t="n">
        <v>550</v>
      </c>
      <c r="G13" s="48" t="n">
        <f aca="false">C13-D13-E13-F13</f>
        <v>2083</v>
      </c>
      <c r="H13" s="47" t="n">
        <v>0.95</v>
      </c>
      <c r="I13" s="3" t="s">
        <v>289</v>
      </c>
    </row>
    <row r="14" customFormat="false" ht="15" hidden="false" customHeight="true" outlineLevel="0" collapsed="false">
      <c r="A14" s="1" t="s">
        <v>285</v>
      </c>
      <c r="B14" s="1" t="s">
        <v>290</v>
      </c>
      <c r="C14" s="47" t="n">
        <v>5000</v>
      </c>
      <c r="D14" s="47" t="n">
        <v>2300</v>
      </c>
      <c r="E14" s="47" t="n">
        <v>1180</v>
      </c>
      <c r="F14" s="47" t="n">
        <v>150</v>
      </c>
      <c r="G14" s="48" t="n">
        <f aca="false">C14-D14-E14-F14</f>
        <v>1370</v>
      </c>
      <c r="H14" s="47" t="n">
        <v>0.95</v>
      </c>
      <c r="I14" s="3" t="s">
        <v>291</v>
      </c>
    </row>
    <row r="15" customFormat="false" ht="15" hidden="false" customHeight="true" outlineLevel="0" collapsed="false">
      <c r="A15" s="1" t="s">
        <v>292</v>
      </c>
      <c r="B15" s="1" t="s">
        <v>293</v>
      </c>
      <c r="C15" s="47" t="n">
        <v>3600</v>
      </c>
      <c r="D15" s="47" t="n">
        <v>1700</v>
      </c>
      <c r="E15" s="47" t="n">
        <v>1350</v>
      </c>
      <c r="F15" s="47" t="n">
        <v>300</v>
      </c>
      <c r="G15" s="48" t="n">
        <f aca="false">C15-D15-E15-F15</f>
        <v>250</v>
      </c>
      <c r="H15" s="47" t="n">
        <v>1.15</v>
      </c>
      <c r="I15" s="3" t="s">
        <v>294</v>
      </c>
    </row>
    <row r="16" customFormat="false" ht="15" hidden="false" customHeight="true" outlineLevel="0" collapsed="false">
      <c r="A16" s="1" t="s">
        <v>292</v>
      </c>
      <c r="B16" s="1" t="s">
        <v>295</v>
      </c>
      <c r="C16" s="47" t="n">
        <v>4000</v>
      </c>
      <c r="D16" s="47" t="n">
        <v>2200</v>
      </c>
      <c r="E16" s="47" t="n">
        <v>1490</v>
      </c>
      <c r="F16" s="47" t="n">
        <v>350</v>
      </c>
      <c r="G16" s="48" t="n">
        <f aca="false">C16-D16-E16-F16</f>
        <v>-40</v>
      </c>
      <c r="H16" s="47" t="n">
        <v>1.25</v>
      </c>
      <c r="I16" s="3" t="s">
        <v>296</v>
      </c>
    </row>
    <row r="17" customFormat="false" ht="15" hidden="false" customHeight="true" outlineLevel="0" collapsed="false">
      <c r="A17" s="1" t="s">
        <v>292</v>
      </c>
      <c r="B17" s="1" t="s">
        <v>297</v>
      </c>
      <c r="C17" s="47" t="n">
        <v>7650</v>
      </c>
      <c r="D17" s="47" t="n">
        <v>2800</v>
      </c>
      <c r="E17" s="47" t="n">
        <v>2250</v>
      </c>
      <c r="F17" s="47" t="n">
        <v>500</v>
      </c>
      <c r="G17" s="48" t="n">
        <f aca="false">C17-D17-E17-F17</f>
        <v>2100</v>
      </c>
      <c r="H17" s="47" t="n">
        <v>0.9</v>
      </c>
      <c r="I17" s="3" t="s">
        <v>298</v>
      </c>
    </row>
    <row r="18" customFormat="false" ht="15" hidden="false" customHeight="true" outlineLevel="0" collapsed="false">
      <c r="A18" s="1" t="s">
        <v>292</v>
      </c>
      <c r="B18" s="1" t="s">
        <v>299</v>
      </c>
      <c r="C18" s="47" t="n">
        <v>8300</v>
      </c>
      <c r="D18" s="47" t="n">
        <v>3700</v>
      </c>
      <c r="E18" s="47" t="n">
        <v>2550</v>
      </c>
      <c r="F18" s="47" t="n">
        <v>650</v>
      </c>
      <c r="G18" s="48" t="n">
        <f aca="false">C18-D18-E18-F18</f>
        <v>1400</v>
      </c>
      <c r="H18" s="47" t="n">
        <v>0.95</v>
      </c>
      <c r="I18" s="3" t="s">
        <v>300</v>
      </c>
    </row>
    <row r="19" customFormat="false" ht="15" hidden="false" customHeight="true" outlineLevel="0" collapsed="false">
      <c r="A19" s="60" t="s">
        <v>301</v>
      </c>
      <c r="B19" s="60" t="s">
        <v>302</v>
      </c>
      <c r="C19" s="61" t="n">
        <v>2200</v>
      </c>
      <c r="D19" s="61" t="n">
        <v>1100</v>
      </c>
      <c r="E19" s="61" t="n">
        <v>350</v>
      </c>
      <c r="F19" s="61" t="n">
        <v>300</v>
      </c>
      <c r="G19" s="62" t="n">
        <f aca="false">C19-D19-E19-F19</f>
        <v>450</v>
      </c>
      <c r="H19" s="61" t="n">
        <v>1.22</v>
      </c>
      <c r="I19" s="63" t="s">
        <v>303</v>
      </c>
    </row>
    <row r="20" customFormat="false" ht="15" hidden="false" customHeight="true" outlineLevel="0" collapsed="false">
      <c r="A20" s="60" t="s">
        <v>301</v>
      </c>
      <c r="B20" s="60" t="s">
        <v>304</v>
      </c>
      <c r="C20" s="61" t="n">
        <v>3900</v>
      </c>
      <c r="D20" s="61" t="n">
        <v>1750</v>
      </c>
      <c r="E20" s="61" t="n">
        <v>1450</v>
      </c>
      <c r="F20" s="61" t="n">
        <v>450</v>
      </c>
      <c r="G20" s="62" t="n">
        <f aca="false">C20-D20-E20-F20</f>
        <v>250</v>
      </c>
      <c r="H20" s="61" t="n">
        <v>1.18</v>
      </c>
      <c r="I20" s="63" t="s">
        <v>305</v>
      </c>
    </row>
    <row r="21" customFormat="false" ht="15" hidden="false" customHeight="true" outlineLevel="0" collapsed="false">
      <c r="A21" s="60" t="s">
        <v>301</v>
      </c>
      <c r="B21" s="60" t="s">
        <v>306</v>
      </c>
      <c r="C21" s="61" t="n">
        <v>7200</v>
      </c>
      <c r="D21" s="61" t="n">
        <v>2700</v>
      </c>
      <c r="E21" s="61" t="n">
        <v>2300</v>
      </c>
      <c r="F21" s="61" t="n">
        <v>700</v>
      </c>
      <c r="G21" s="62" t="n">
        <f aca="false">C21-D21-E21-F21</f>
        <v>1500</v>
      </c>
      <c r="H21" s="61" t="n">
        <v>1</v>
      </c>
      <c r="I21" s="63" t="s">
        <v>307</v>
      </c>
    </row>
    <row r="23" customFormat="false" ht="15" hidden="false" customHeight="true" outlineLevel="0" collapsed="false">
      <c r="A23" s="3" t="s">
        <v>308</v>
      </c>
    </row>
    <row r="24" customFormat="false" ht="15" hidden="false" customHeight="true" outlineLevel="0" collapsed="false">
      <c r="A24" s="3" t="s">
        <v>309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2026-06-05T16:01:50Z</dcterms:created>
  <dc:creator>openpyxl</dc:creator>
  <dc:description/>
  <dc:language>en-US</dc:language>
  <cp:lastModifiedBy/>
  <dcterms:modified xsi:type="dcterms:W3CDTF">2026-06-05T20:27:06Z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